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99" activeTab="0"/>
  </bookViews>
  <sheets>
    <sheet name="Лист2" sheetId="1" r:id="rId1"/>
  </sheets>
  <definedNames>
    <definedName name="_xlnm.Print_Area" localSheetId="0">'Лист2'!$A$1:$M$307</definedName>
  </definedNames>
  <calcPr fullCalcOnLoad="1"/>
</workbook>
</file>

<file path=xl/sharedStrings.xml><?xml version="1.0" encoding="utf-8"?>
<sst xmlns="http://schemas.openxmlformats.org/spreadsheetml/2006/main" count="572" uniqueCount="345">
  <si>
    <t xml:space="preserve">Міська програма реформування медичного обслуговування населення міста Южноукраїнська на 2013- 2015рр </t>
  </si>
  <si>
    <t xml:space="preserve">Житлово - експлуатаційне господарство </t>
  </si>
  <si>
    <t xml:space="preserve">Капітальний ремонт житлового фонду місцевих органів влади </t>
  </si>
  <si>
    <t xml:space="preserve">Теплові мережі ( міська програма енергозбереження в сфері житлово - комунального господарства м.Южноукраїнська ) </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</si>
  <si>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</si>
  <si>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150110</t>
  </si>
  <si>
    <t>Проведення невідкладних відновлювальних робіт, будівництво та реконструкція загальноосвітніх навчальних закладів</t>
  </si>
  <si>
    <t xml:space="preserve">Землеустрій "Міська програма "Розвитку земельних відносин" </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</si>
  <si>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2013 - 2017 роки) </t>
  </si>
  <si>
    <t>капітальні видатки за рахунок коштів, що передаються із загального фонду до бюджету розвитку (спеціального фонду)</t>
  </si>
  <si>
    <t xml:space="preserve">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(за рахунок субвенції з державного бюджету) </t>
  </si>
  <si>
    <t>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УПтаСЗН</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</si>
  <si>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</si>
  <si>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</si>
  <si>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</si>
  <si>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Благоустрій  міст, сіл, селищ (міська програма реформування і розвитку житлово - комунального господарства міста Южноукраїнська на 2010 - 2014 роки)</t>
  </si>
  <si>
    <t xml:space="preserve">Капітальні вкладення (міська програма капітального будівництва об’єктів житлово - комунального господарства та соціальної інфраструктури міста Южноукраїнська на 2011 - 2015 роки) </t>
  </si>
  <si>
    <t>Інші освітні програми (Міська програма розвитку освіти в м.Южноукраїнську на 2011-2015 роки)</t>
  </si>
  <si>
    <t xml:space="preserve">Субсидії населенню для відшкодування витрат на оплату  житлово-комунальних послуг (за рахунок субвенції з державного бюджету) </t>
  </si>
  <si>
    <t xml:space="preserve">Утримання центрів соціальних служб для сім’ї, дітей та молоді </t>
  </si>
  <si>
    <t xml:space="preserve">Державна соціальна допомога інвалідам з дитинства та дітям-інвалідам (за рахунок субвенції з державного бюджету) </t>
  </si>
  <si>
    <t>Культура і мистецтво</t>
  </si>
  <si>
    <t>Культура і мистецтво (утримання закладів культури)</t>
  </si>
  <si>
    <t>Фізична культура і спорт</t>
  </si>
  <si>
    <t>240000</t>
  </si>
  <si>
    <t>Цільові фонди</t>
  </si>
  <si>
    <t>Видатки загального фонду</t>
  </si>
  <si>
    <t>оплата праці</t>
  </si>
  <si>
    <t>Видатки спеціального фонду</t>
  </si>
  <si>
    <t>Разом:</t>
  </si>
  <si>
    <t>010116</t>
  </si>
  <si>
    <t>070000</t>
  </si>
  <si>
    <t>090000</t>
  </si>
  <si>
    <t>090401</t>
  </si>
  <si>
    <t xml:space="preserve">  Найменування коду тимчасової класифікації видатків та кредитування місцевих бюджетів</t>
  </si>
  <si>
    <t>Разом</t>
  </si>
  <si>
    <t xml:space="preserve">    Всього</t>
  </si>
  <si>
    <t xml:space="preserve">  із них:</t>
  </si>
  <si>
    <t xml:space="preserve"> із них:</t>
  </si>
  <si>
    <t>із них:</t>
  </si>
  <si>
    <t>комунальні послуги та енергоносії</t>
  </si>
  <si>
    <t>бюджет розвитку</t>
  </si>
  <si>
    <t>13=3+6</t>
  </si>
  <si>
    <t>090405</t>
  </si>
  <si>
    <t>090412</t>
  </si>
  <si>
    <t>090416</t>
  </si>
  <si>
    <t>091204</t>
  </si>
  <si>
    <t>091207</t>
  </si>
  <si>
    <t>091209</t>
  </si>
  <si>
    <t>091300</t>
  </si>
  <si>
    <t>100000</t>
  </si>
  <si>
    <t>Житлово-комунальне господарство</t>
  </si>
  <si>
    <t>100102</t>
  </si>
  <si>
    <t>100203</t>
  </si>
  <si>
    <t>110000</t>
  </si>
  <si>
    <t>130000</t>
  </si>
  <si>
    <t>130107</t>
  </si>
  <si>
    <t>150000</t>
  </si>
  <si>
    <t>150101</t>
  </si>
  <si>
    <t>170000</t>
  </si>
  <si>
    <t>Транспорт, дорожнє господарство, зв'язок, телекомунікації та інформатика</t>
  </si>
  <si>
    <t>170102</t>
  </si>
  <si>
    <t>170703</t>
  </si>
  <si>
    <t>210110</t>
  </si>
  <si>
    <t>250404</t>
  </si>
  <si>
    <t>250301</t>
  </si>
  <si>
    <t>тис. грн.</t>
  </si>
  <si>
    <t>090209</t>
  </si>
  <si>
    <t>210105</t>
  </si>
  <si>
    <t>091101</t>
  </si>
  <si>
    <t>091102</t>
  </si>
  <si>
    <t>Будівництво</t>
  </si>
  <si>
    <t>090201</t>
  </si>
  <si>
    <t>090202</t>
  </si>
  <si>
    <t>090203</t>
  </si>
  <si>
    <t>090204</t>
  </si>
  <si>
    <t>090302</t>
  </si>
  <si>
    <t>090303</t>
  </si>
  <si>
    <t>090304</t>
  </si>
  <si>
    <t>090305</t>
  </si>
  <si>
    <t>090306</t>
  </si>
  <si>
    <t>080000</t>
  </si>
  <si>
    <t xml:space="preserve">Охорона здоров'я  </t>
  </si>
  <si>
    <t>120000</t>
  </si>
  <si>
    <t>Засоби масової інформації</t>
  </si>
  <si>
    <t>090207</t>
  </si>
  <si>
    <t>100103</t>
  </si>
  <si>
    <t>090206</t>
  </si>
  <si>
    <t>180109</t>
  </si>
  <si>
    <t>240900</t>
  </si>
  <si>
    <t>070401</t>
  </si>
  <si>
    <t>170302</t>
  </si>
  <si>
    <t>Соціальний захист та соціальне забезпечення</t>
  </si>
  <si>
    <t>090417</t>
  </si>
  <si>
    <t>Заходи з організації рятування на водах (Утримання рятувальної станції)</t>
  </si>
  <si>
    <t>110502</t>
  </si>
  <si>
    <t>090205</t>
  </si>
  <si>
    <t>090208</t>
  </si>
  <si>
    <t>090307</t>
  </si>
  <si>
    <t>240601</t>
  </si>
  <si>
    <t>100202</t>
  </si>
  <si>
    <t>070807</t>
  </si>
  <si>
    <t>090212</t>
  </si>
  <si>
    <t>070303</t>
  </si>
  <si>
    <t xml:space="preserve">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</si>
  <si>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</si>
  <si>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Утримання управління житлово-комунального господарства (дотація)</t>
  </si>
  <si>
    <t>090214</t>
  </si>
  <si>
    <t>091303</t>
  </si>
  <si>
    <t>091304</t>
  </si>
  <si>
    <t>120400</t>
  </si>
  <si>
    <t>Освіта</t>
  </si>
  <si>
    <t>споживання</t>
  </si>
  <si>
    <t>розвитку</t>
  </si>
  <si>
    <t>070101</t>
  </si>
  <si>
    <t>Дошкільні  заклади освіти</t>
  </si>
  <si>
    <t>070201</t>
  </si>
  <si>
    <t>Позашкільні заклади освіти, заходи із позашкільної роботи з дітьми</t>
  </si>
  <si>
    <t>070802</t>
  </si>
  <si>
    <t>Методична робота, інші заходи у сфері народної освіти</t>
  </si>
  <si>
    <t>070804</t>
  </si>
  <si>
    <t>070805</t>
  </si>
  <si>
    <t>070806</t>
  </si>
  <si>
    <t>Інші заклади освіти (міжшкільний навчально-виробничий комбінат)</t>
  </si>
  <si>
    <t>110201</t>
  </si>
  <si>
    <t>Бібліотеки</t>
  </si>
  <si>
    <t>110202</t>
  </si>
  <si>
    <t>Музеї і виставки</t>
  </si>
  <si>
    <t>110205</t>
  </si>
  <si>
    <t>Інші культурно - освітні заклади та заходи (централізована бухгалтерія)</t>
  </si>
  <si>
    <t>070808</t>
  </si>
  <si>
    <t>Інші видатки (міська програма "Наше місто")</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</si>
  <si>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</si>
  <si>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</si>
  <si>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Пільги окремим категоріям громадян з послуг зв’язку (за рахунок субвенції з державного бюджету) </t>
  </si>
  <si>
    <t>250203</t>
  </si>
  <si>
    <t>Дошкільні  заклади освіти (субвенція с обласного бюджету)</t>
  </si>
  <si>
    <t>090413</t>
  </si>
  <si>
    <t>Допомога на догляд за інвалідом I чи II групи внаслідок психічного розладу (субвенція з обласного бюджету місцевим на виплату допомоги малозабезпеченій особі, яка проживає разом з інвалідом І чи ІІ групи внаслідок психічного розладу, на догляд за ним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</si>
  <si>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</si>
  <si>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 xml:space="preserve">Допомога у зв"язку з вагітністю і пологами (за рахунок субвенції з державного бюджету) </t>
  </si>
  <si>
    <t xml:space="preserve">Допомога на догляд за дитиною віком до 3 років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</si>
  <si>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</si>
  <si>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</si>
  <si>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</si>
  <si>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Встановлення телефонів інвалідам І та ІІ груп (за рахунок субвенції з обласного бюджету)</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</si>
  <si>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</si>
  <si>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</si>
  <si>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 xml:space="preserve">Допомога на дітей одиноким матерям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</si>
  <si>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</si>
  <si>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Органи місцевого самоврядування (утримання управління освіти  Южноукраїнської міської ради)</t>
  </si>
  <si>
    <t>Органи місцевого самоврядування (утримання управління житлово-комунального господарства та будівництва Южноукраїнської міської ради)</t>
  </si>
  <si>
    <t>Органи місцевого самоврядування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</si>
  <si>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060000</t>
  </si>
  <si>
    <t>Правоохороння діяльність та забезпечення безпеки держави</t>
  </si>
  <si>
    <t>061007</t>
  </si>
  <si>
    <t>100101</t>
  </si>
  <si>
    <t>090406</t>
  </si>
  <si>
    <t>Державне управління</t>
  </si>
  <si>
    <t>010000</t>
  </si>
  <si>
    <t>Додаток  №4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</si>
  <si>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в м. Южноукраїнську на 2013 рік) </t>
  </si>
  <si>
    <t>Між бюджетні трансферти</t>
  </si>
  <si>
    <t xml:space="preserve">Разом </t>
  </si>
  <si>
    <t>Загальноосвітні школи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</si>
  <si>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Дитячі будинки (в тому числі сімейного типу, прийомні сім’ї)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 </t>
  </si>
  <si>
    <t>Всього міжбюджетних трансфертів</t>
  </si>
  <si>
    <t xml:space="preserve">Разом видатків </t>
  </si>
  <si>
    <t>Всього видатків міського бюджету</t>
  </si>
  <si>
    <t>180404</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</si>
  <si>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 - за рахунок субвенції з обласного бюджету)</t>
  </si>
  <si>
    <t>Видатки за рахунок субвенцій з державного бюджету</t>
  </si>
  <si>
    <t xml:space="preserve">Допомога дітям-сиротам та дітям, позбавленим батьківського піклування, яким виповнюється 18 років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</si>
  <si>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устаткування ПГМ -10У (у комплекті) для вирішення та заливки поліуретану, продуктивністю до 10 кг/хв., одержувач - КП ТВКГ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</si>
  <si>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</si>
  <si>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(субвенції з державного бюджету місцевим бюджетам на здійснення заходів щодо соціально-економічного розвитку окремих територій)</t>
  </si>
  <si>
    <t>Капітальні вкладення (субвенція з державного бюджету місцевим бюджетам на здійснення заходів щодо соціально-економічного розвитку окремих територій)</t>
  </si>
  <si>
    <t>Утримання та навчально-тренувальна робота дитячо-юнацьких спортивних шкіл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</si>
  <si>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Капітальні вкладення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</si>
  <si>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</si>
  <si>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 xml:space="preserve">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</si>
  <si>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</si>
  <si>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</si>
  <si>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місцевого бюджету державному бюджету на виконання програм соціально-економічного та культурного розвитку регіонів (міська програма "Репродуктивне здоров'я населення міста Южноукраїнська " на період до 2015 року )</t>
  </si>
  <si>
    <t xml:space="preserve">Інші видатки на соціальний захист населення (міська комплексна програма "Молоде покоління м. Южноукраїнська" на 2012-2015 роки ) </t>
  </si>
  <si>
    <t>Благоустрій  міст, сіл, селищ (Програма зайнятості населення міста Южноукраїнська на період до 2017 року в частині оплачуваних громадських робіт)</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</si>
  <si>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</si>
  <si>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рр.)ССД</t>
  </si>
  <si>
    <t>Загальноосвітні школи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)(субвенція с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</si>
  <si>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</si>
  <si>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залишку за станом на 01 січня 2013 року субвенції з державного бюджету на будівництво, реконструкцію, ремонт та утримання вулиць і доріг комунальної власності у населених пунктах ) </t>
  </si>
  <si>
    <t xml:space="preserve">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</si>
  <si>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</si>
  <si>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</si>
  <si>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</si>
  <si>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</si>
  <si>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</si>
  <si>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</si>
  <si>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</si>
  <si>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Програма стабілізації та соціально-економічного розвитку території</t>
  </si>
  <si>
    <t xml:space="preserve">Землеустрій </t>
  </si>
  <si>
    <t>Т.О.Гончарова</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</si>
  <si>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(зарезервовані кошти)</t>
  </si>
  <si>
    <t xml:space="preserve">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 придбання спеціальної багатофункціональної техніки для обслуговування об’єктів благоустрою) </t>
  </si>
  <si>
    <t>240602</t>
  </si>
  <si>
    <t>Утилізація відходів (програма охорони довкілля та раціонального природокористування міста Южноукраїнська на 2011 - 2015 роки)</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</si>
  <si>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</si>
  <si>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</si>
  <si>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</si>
  <si>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</si>
  <si>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</si>
  <si>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</si>
  <si>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</si>
  <si>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медицина</t>
  </si>
  <si>
    <t>Інші видатки на соціальний захист населення (міська програма боротьби з онкологічними захворюваннями в м.Южноукраїнську на пероід до 2016 року  )</t>
  </si>
  <si>
    <t>Проведення навчально - тренувальних зборів і змагань (Програма розвитку культури, фізичної культури, спорту та туризму в м.Южноукраїнську на 2010-2013роки)</t>
  </si>
  <si>
    <t>Інші культурно-освітні заклади та заходи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</si>
  <si>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</si>
  <si>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Загальноосвітні школи ( в тому числі школа - дитячий садок, інтернат при школі), спеціалізовані школи, ліцеї (субвенція з обласного бюджету)</t>
  </si>
  <si>
    <t>Центри "Спорт для всіх" та заходи з фізичної культури (Програма розвитку культури, фізичної культури, спорту та туризму в м.Южноукраїнську на 2010-2013 роки)</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</si>
  <si>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</si>
  <si>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Інші правоохоронні заходи і заклади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</si>
  <si>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Інші видатки на соціальний захист населення (передплата періодичного друкованого видання для учасників бойових дій у роки Великої Вітчизняної війни та у роки війни з Японією - за рахунок субвенції з обласного бюджету)</t>
  </si>
  <si>
    <t xml:space="preserve">Охорона та раціональне використання водних ресурсів </t>
  </si>
  <si>
    <t xml:space="preserve">Капітальні вкладення (міська програма розвитку освіти в м.Южноукраїнську на 2011 - 2015 роки - субвенція з державного бюджету на фінансування програм – переможців Всеукраїнського конкурсу проектів та програм розвитку місцевого самоврядування на реалізацію інвестиційного проекту «Освітлення територій навчальних закладів за допомогою системи освітлення на LED – лампах та сонячних модулях») </t>
  </si>
  <si>
    <t>180409</t>
  </si>
  <si>
    <t>180000</t>
  </si>
  <si>
    <t>Інші послуги, пов’язані з економічною діяльністю</t>
  </si>
  <si>
    <t>210000</t>
  </si>
  <si>
    <t>250000</t>
  </si>
  <si>
    <t>Видатки, не віднесені до основних груп</t>
  </si>
  <si>
    <t>Запобігання та ліквідація надзвичайних ситуацій та наслідків стихійного лиха</t>
  </si>
  <si>
    <t>090308</t>
  </si>
  <si>
    <t xml:space="preserve">Допомога при усиновленні дитини (за рахунок субвенції з державного бюджету)  </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</si>
  <si>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</si>
  <si>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</si>
  <si>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Школи естетичного виховання дітей</t>
  </si>
  <si>
    <t xml:space="preserve">Освіта (утримання закладів освіти) </t>
  </si>
  <si>
    <t>Групи централізованого господарського обслуговування</t>
  </si>
  <si>
    <t>130115</t>
  </si>
  <si>
    <t>Органи місцевого самоврядування ( міська програма інформаційної підтримки розвитку міста та діяльності органів місцевого самоврядування на 2013-2016 роки)</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</si>
  <si>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</si>
  <si>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</si>
  <si>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</si>
  <si>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</si>
  <si>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</si>
  <si>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</si>
  <si>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</si>
  <si>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міської ради від                            2013 №</t>
  </si>
  <si>
    <t>Уточнені видатки міського бюджету на 2013 рік</t>
  </si>
  <si>
    <t>Періодичні видання (газети та журнали) (міська програма підтримки газети Южноукраїнської міської ради "Контакт" на 2009 - 2014 роки - фінансова допомога на послуги друку, яка надавалась у 2012 році )</t>
  </si>
  <si>
    <t>120201</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</si>
  <si>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</si>
  <si>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оформлення права власності,публікація оголошень в ЗМІ ) </t>
  </si>
  <si>
    <t xml:space="preserve">Підтримка малого і середнього підприємництва (міська програма розвитку малого і середнього підприємництва в м.Южноукраїнську на 2013-2014 роки)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</si>
  <si>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2009 - 2012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</si>
  <si>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</si>
  <si>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поводження із специфічними біологічними відходами в місті Южноукраїнську на 2012-2015 роки)</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</si>
  <si>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Южноукраїнська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</si>
  <si>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</si>
  <si>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</si>
  <si>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роки) </t>
  </si>
  <si>
    <t>250344</t>
  </si>
  <si>
    <t>Капітальний ремонт житлового фонду місцевих органів влади (одержувач КП ЖЕО)</t>
  </si>
  <si>
    <t xml:space="preserve">Капітальний ремонт житлового фонду місцевих органів влади (субвенція з державного бюджету) </t>
  </si>
  <si>
    <t xml:space="preserve">Теплові мережі (субвенція з державного бюджету) </t>
  </si>
  <si>
    <t xml:space="preserve">Благоустрій  міст, сіл, селищ (субвенція з державного бюджету) </t>
  </si>
  <si>
    <t>100208</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</si>
  <si>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 - в частині  розробки  проектної документації  по переоснащенню інженерного вводу теплопостачання житлових  будинків з встановленням приладів обліку  теплової енергії - одержувач КП ТВКГ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</si>
  <si>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м.Южноукраїнська) МВК </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</si>
  <si>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 пов"язаних із капітальним ремонтом  адміністративно-виробничої будівлі за адресою бул. Цвіточний, 9", в т.ч. технічне освідчення будівельних конструкцій)</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</si>
  <si>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 - встановлення нових малих архітектурних споруд на території міського парку) (Одержувач бюджетних коштів КП СКГ)</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</si>
  <si>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</si>
  <si>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</si>
  <si>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090215</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</si>
  <si>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капітального ремонту адміністртивно-виробничої будівлі комунальної власності за адресою Цвіточний, 9)</t>
  </si>
  <si>
    <t xml:space="preserve">Пільги багатодітним сім’ям на  житлово - комунальні послуги (за рахунок субвенції з державного бюджету) </t>
  </si>
  <si>
    <t>Водопровідно-каналізаційне господарство</t>
  </si>
  <si>
    <t>Начальник фінансового управління Южноукраїнської міської ради</t>
  </si>
  <si>
    <t>Програми і заходи центрів соціальних служб для сім’ї,дітей та молоді (міська комплексна програма "Молодь Южноукраїнська " )</t>
  </si>
  <si>
    <t>Соціальні програми і заходи державних органів у справах молоді (міська комплексна програма "Молодь Южноукраїнська" на 2009 - 2011 роки)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</si>
  <si>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</si>
  <si>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Органи місцевого самоврядування (утримання виконавчого комітету Южноукраїнської міської ради)</t>
  </si>
  <si>
    <t>250388</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</si>
  <si>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</si>
  <si>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фінансового управління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</si>
  <si>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</si>
  <si>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Органи місцевого самоврядування (утримання служби у справах дітей Южноукраїнської міської ради)</t>
  </si>
  <si>
    <t>130106</t>
  </si>
  <si>
    <t>100201</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</si>
  <si>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 розробки (оновлення ) містобудівної документації генерального плану міста)МВК</t>
  </si>
  <si>
    <t>Внески органів місцевого самоврядування у статутні фонди суб’єктів підприємницької діяльності  (міська програма підтримки комунальної установи "Інформаційне агенство "Медіа - простір" Южноукраїнської міської ради )</t>
  </si>
  <si>
    <t>200100</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</si>
  <si>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</si>
  <si>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</si>
  <si>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Централізовані бухгалтерії обласних, міських, районних відділів освіти</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</si>
  <si>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</si>
  <si>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Допомога при  народженні дитини (за рахунок субвенції з державного бюджету) </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</si>
  <si>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</si>
  <si>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</si>
  <si>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</si>
  <si>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091205</t>
  </si>
  <si>
    <t>до рішення Южноукраїнської</t>
  </si>
  <si>
    <t>Інші освітні програми (Міська програма розвитку освіти в м.Южноукраїнську на 2011-2015 роки - співфінансування з державним бюджетом програм – переможців Всеукраїнського конкурсу проектів та програм розвитку місцевого самоврядування на реалізацію інвестиційного проекту «Освітлення територій навчальних закладів за допомогою системи освітлення на LED – лампах та сонячних модулях»)</t>
  </si>
  <si>
    <t>Додаткова дотація з держаного бюджету місцевим бюджетам на підвищення рівня матеріального забезпечення інвалідів І чи ІІ групи внаслідок психічного розладу</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</si>
  <si>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основних засобів (обладнання) для забезпечення функціонування житлово - комунальної сфери)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</si>
  <si>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</si>
  <si>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091103</t>
  </si>
  <si>
    <t>130102</t>
  </si>
  <si>
    <t>Утримання та навчально-тренувальна робота дитячо-юнацьких спортивних шкіл</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</si>
  <si>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підтримки  комунального підприємства "Південсервіс") </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</si>
  <si>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</si>
  <si>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</si>
  <si>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</si>
  <si>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Загальноосвітні школи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</si>
  <si>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</si>
  <si>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</si>
  <si>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</si>
  <si>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основних засобів (обладнання) та запасних частин для тракторної спеціальної техніки, пов’язаної із обслуговуванням житлово-комунального господарства міста (комунальне підприємство "Служба комунального господарства")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</si>
  <si>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</si>
  <si>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 xml:space="preserve">Загальноосвітні школи (в т. ч. школа-дитячий садок, інтернат при школі), спеціалізовані школи, ліцеї, гімназії, колегіуми </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</si>
  <si>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 ССД</t>
  </si>
  <si>
    <t>Соціальні програми і заходи державних органів у справах молоді (міська комплексна програма "Молоде покоління м. Южноукраїнська" на 2012-2015 роки ) НС</t>
  </si>
  <si>
    <t>Витрати на поховання учасників бойових дій та інвалідів війни (за рахунок субвенції з обласного бюджету)</t>
  </si>
  <si>
    <t>Інші видатки  на соціальний захист ветеранів війни та праці   (субвенція з обласного бюджету)</t>
  </si>
  <si>
    <t>Інші видатки на соціальний захист населення ( за рахунок субвенції з обласного бюджету)</t>
  </si>
  <si>
    <t>Утримання центру соціальних служб для сім’ї, дітей та молоді (субвенція з обласного бюджету)</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</si>
  <si>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2013 - 2016 роки)</t>
  </si>
  <si>
    <t>Пільги, що надаються населенню (крім ветеранів війни та праці, військової служби, органів внутрішніх справ та громадян, які постраждали внаслідок Чорнобильської катастрофи), на оплату житлово - комунальних послуг і природного газу (міська комплексна програма "Турбота" на 2013 - 2016 роки)</t>
  </si>
  <si>
    <t>Фінансова підтримка громадських організацій  інвалідів і ветеранів (міська комплексна програма "Турбота" на 2013 - 2016 роки - "Товариство інвалідів", "Рада ветеранів", "Міська спілка воїнів-інтернаціоналістів, спілка "Союз-Чорнобиль")</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</si>
  <si>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2013 - 2016 роки)</t>
  </si>
  <si>
    <t>Інші видатки  на соціальний захист ветеранів війни та праці (міська комплексна програма "Турбота" на 2013-2017 роки)</t>
  </si>
  <si>
    <t>Інші видатки на соціальний захист населення (міська комплексна програма "Турбота" на 2013-2017роки)</t>
  </si>
  <si>
    <t>100200</t>
  </si>
  <si>
    <t>Теплові мережі (міська програма реформування і розвитку житлово - комунального господарства міста Южноукраїнська на 2010 - 2014 роки )</t>
  </si>
  <si>
    <t>Капітальні вкладення</t>
  </si>
  <si>
    <t>Капітальні вкладення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</si>
  <si>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Утримання та навчально-тренувальна робота дитячо-юнацьких спортивних шкіл (за рахунок  субвенції з державного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</si>
  <si>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ЦСССДМ</t>
  </si>
  <si>
    <t>Соціальні програми і заходи державних органів у справах молоді (міська комплексна програма "Молоде покоління м. Южноукраїнська" на 2012-2015 роки ) УМСК</t>
  </si>
  <si>
    <t>Програма і централізовані заходи боротьби з туберкульозом  (міська програма протидії захворюванню на туберкульоз у 2013 році)</t>
  </si>
  <si>
    <t xml:space="preserve">Міська програма розвитку донорства крові та її компонентів на 2012 - 2016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</si>
  <si>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</si>
  <si>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</si>
  <si>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Міська програма з надання паліативної та хоспісної допомоги в м. Южноукраїнську на період до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</si>
</sst>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0"/>
    <numFmt numFmtId="183" formatCode="0.0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
    <numFmt numFmtId="191" formatCode="#,##0.00000"/>
    <numFmt numFmtId="192" formatCode="#,##0.000000"/>
    <numFmt numFmtId="193" formatCode="0_)"/>
  </numFmts>
  <fonts count="48">
    <font>
      <sz val="10"/>
      <name val="Arial Cyr"/>
      <family val="0"/>
    </font>
    <font>
      <i/>
      <sz val="10"/>
      <name val="Arial Cyr"/>
      <family val="2"/>
    </font>
    <font>
      <sz val="10"/>
      <color indexed="10"/>
      <name val="Arial Cyr"/>
      <family val="2"/>
    </font>
    <font>
      <sz val="14"/>
      <name val="Times New Roman"/>
      <family val="1"/>
    </font>
    <font>
      <u val="single"/>
      <sz val="7.5"/>
      <color indexed="12"/>
      <name val="Arial Cyr"/>
      <family val="0"/>
    </font>
    <font>
      <u val="single"/>
      <sz val="7.5"/>
      <color indexed="36"/>
      <name val="Arial Cyr"/>
      <family val="0"/>
    </font>
    <font>
      <sz val="12"/>
      <name val="Times New Roman"/>
      <family val="1"/>
    </font>
    <font>
      <sz val="10"/>
      <name val="Times New Roman"/>
      <family val="1"/>
    </font>
    <font>
      <i/>
      <sz val="12"/>
      <name val="Times New Roman"/>
      <family val="1"/>
    </font>
    <font>
      <sz val="11"/>
      <name val="Times New Roman"/>
      <family val="1"/>
    </font>
    <font>
      <sz val="16"/>
      <name val="Times New Roman"/>
      <family val="1"/>
    </font>
    <font>
      <sz val="20"/>
      <name val="Times New Roman"/>
      <family val="1"/>
    </font>
    <font>
      <sz val="13"/>
      <color indexed="8"/>
      <name val="Times New Roman"/>
      <family val="1"/>
    </font>
    <font>
      <sz val="10"/>
      <name val="Helv"/>
      <family val="0"/>
    </font>
    <font>
      <sz val="8"/>
      <color indexed="8"/>
      <name val="Times New Roman"/>
      <family val="1"/>
    </font>
    <font>
      <sz val="8"/>
      <color indexed="8"/>
      <name val="Times New Roman Cyr"/>
      <family val="1"/>
    </font>
    <font>
      <sz val="12"/>
      <color indexed="8"/>
      <name val="Times New Roman"/>
      <family val="1"/>
    </font>
    <font>
      <sz val="13"/>
      <name val="Times New Roman"/>
      <family val="1"/>
    </font>
    <font>
      <sz val="11"/>
      <color indexed="8"/>
      <name val="Times New Roman"/>
      <family val="1"/>
    </font>
    <font>
      <sz val="14"/>
      <color indexed="8"/>
      <name val="Times New Roman"/>
      <family val="1"/>
    </font>
    <font>
      <sz val="20"/>
      <color indexed="8"/>
      <name val="Times New Roman"/>
      <family val="1"/>
    </font>
    <font>
      <sz val="20"/>
      <color indexed="8"/>
      <name val="Times New Roman Cyr"/>
      <family val="0"/>
    </font>
    <font>
      <sz val="12"/>
      <color indexed="8"/>
      <name val="Times New Roman Cyr"/>
      <family val="1"/>
    </font>
    <font>
      <sz val="12"/>
      <name val="Arial Cyr"/>
      <family val="0"/>
    </font>
    <font>
      <i/>
      <sz val="12"/>
      <name val="Arial Cyr"/>
      <family val="2"/>
    </font>
    <font>
      <b/>
      <sz val="12"/>
      <name val="Times New Roman"/>
      <family val="1"/>
    </font>
    <font>
      <sz val="14"/>
      <name val="Arial Cyr"/>
      <family val="2"/>
    </font>
    <font>
      <sz val="16"/>
      <color indexed="8"/>
      <name val="Times New Roman"/>
      <family val="1"/>
    </font>
    <font>
      <sz val="14"/>
      <color indexed="8"/>
      <name val="Times New Roman Cyr"/>
      <family val="1"/>
    </font>
    <font>
      <sz val="16"/>
      <color indexed="8"/>
      <name val="Times New Roman Cyr"/>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5"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4" borderId="0" applyNumberFormat="0" applyBorder="0" applyAlignment="0" applyProtection="0"/>
  </cellStyleXfs>
  <cellXfs count="217">
    <xf numFmtId="0" fontId="0" fillId="0" borderId="0" xfId="0" applyAlignment="1">
      <alignment/>
    </xf>
    <xf numFmtId="49" fontId="6" fillId="0" borderId="10" xfId="0" applyNumberFormat="1" applyFont="1" applyFill="1" applyBorder="1" applyAlignment="1">
      <alignment horizontal="center"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Fill="1" applyBorder="1" applyAlignment="1">
      <alignment/>
    </xf>
    <xf numFmtId="0" fontId="8" fillId="0" borderId="0" xfId="0" applyFont="1" applyFill="1" applyBorder="1" applyAlignment="1">
      <alignment/>
    </xf>
    <xf numFmtId="0" fontId="11" fillId="0" borderId="0" xfId="0" applyFont="1" applyFill="1" applyAlignment="1">
      <alignment wrapText="1"/>
    </xf>
    <xf numFmtId="1" fontId="3" fillId="0" borderId="11" xfId="0" applyNumberFormat="1" applyFont="1" applyFill="1" applyBorder="1" applyAlignment="1">
      <alignment wrapText="1"/>
    </xf>
    <xf numFmtId="185" fontId="6" fillId="0" borderId="0" xfId="0" applyNumberFormat="1" applyFont="1" applyFill="1" applyBorder="1" applyAlignment="1">
      <alignment/>
    </xf>
    <xf numFmtId="49" fontId="6" fillId="24" borderId="10" xfId="0" applyNumberFormat="1" applyFont="1" applyFill="1" applyBorder="1" applyAlignment="1">
      <alignment horizontal="center" wrapText="1"/>
    </xf>
    <xf numFmtId="0" fontId="6" fillId="24" borderId="0" xfId="0" applyFont="1" applyFill="1" applyBorder="1" applyAlignment="1">
      <alignment/>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0" fontId="3" fillId="0" borderId="13" xfId="0" applyFont="1" applyFill="1" applyBorder="1" applyAlignment="1">
      <alignment horizontal="left" wrapText="1"/>
    </xf>
    <xf numFmtId="0" fontId="3" fillId="0" borderId="11" xfId="0" applyFont="1" applyBorder="1" applyAlignment="1">
      <alignment wrapText="1"/>
    </xf>
    <xf numFmtId="1" fontId="3" fillId="0" borderId="11" xfId="0" applyNumberFormat="1" applyFont="1" applyFill="1" applyBorder="1" applyAlignment="1">
      <alignment horizontal="left" wrapText="1"/>
    </xf>
    <xf numFmtId="1" fontId="3" fillId="0" borderId="10" xfId="0" applyNumberFormat="1" applyFont="1" applyFill="1" applyBorder="1" applyAlignment="1">
      <alignment wrapText="1"/>
    </xf>
    <xf numFmtId="0" fontId="3" fillId="25" borderId="10" xfId="0" applyFont="1" applyFill="1" applyBorder="1" applyAlignment="1">
      <alignment wrapText="1"/>
    </xf>
    <xf numFmtId="0" fontId="3" fillId="0" borderId="10" xfId="0" applyFont="1" applyFill="1" applyBorder="1" applyAlignment="1">
      <alignment horizontal="left" wrapText="1"/>
    </xf>
    <xf numFmtId="1" fontId="3" fillId="25" borderId="10" xfId="0" applyNumberFormat="1" applyFont="1" applyFill="1" applyBorder="1" applyAlignment="1">
      <alignment horizontal="left" wrapText="1"/>
    </xf>
    <xf numFmtId="0" fontId="3" fillId="24" borderId="10" xfId="0" applyFont="1" applyFill="1" applyBorder="1" applyAlignment="1">
      <alignment wrapText="1"/>
    </xf>
    <xf numFmtId="191" fontId="6" fillId="0" borderId="10" xfId="0" applyNumberFormat="1" applyFont="1" applyFill="1" applyBorder="1" applyAlignment="1">
      <alignment wrapText="1"/>
    </xf>
    <xf numFmtId="191" fontId="3" fillId="3" borderId="10" xfId="0" applyNumberFormat="1" applyFont="1" applyFill="1" applyBorder="1" applyAlignment="1" applyProtection="1">
      <alignment/>
      <protection locked="0"/>
    </xf>
    <xf numFmtId="0" fontId="19" fillId="0" borderId="10" xfId="0" applyFont="1" applyFill="1" applyBorder="1" applyAlignment="1">
      <alignment horizontal="center" vertical="top"/>
    </xf>
    <xf numFmtId="0" fontId="19" fillId="24" borderId="10" xfId="0" applyFont="1" applyFill="1" applyBorder="1" applyAlignment="1">
      <alignment horizontal="center" vertical="top"/>
    </xf>
    <xf numFmtId="191" fontId="19" fillId="0" borderId="10" xfId="0" applyNumberFormat="1" applyFont="1" applyFill="1" applyBorder="1" applyAlignment="1" applyProtection="1">
      <alignment/>
      <protection locked="0"/>
    </xf>
    <xf numFmtId="191" fontId="19" fillId="3" borderId="10" xfId="0" applyNumberFormat="1" applyFont="1" applyFill="1" applyBorder="1" applyAlignment="1">
      <alignment/>
    </xf>
    <xf numFmtId="191" fontId="3" fillId="24" borderId="10" xfId="0" applyNumberFormat="1" applyFont="1" applyFill="1" applyBorder="1" applyAlignment="1" applyProtection="1">
      <alignment/>
      <protection locked="0"/>
    </xf>
    <xf numFmtId="191" fontId="2" fillId="0" borderId="10" xfId="0" applyNumberFormat="1" applyFont="1" applyFill="1" applyBorder="1" applyAlignment="1">
      <alignment wrapText="1"/>
    </xf>
    <xf numFmtId="191" fontId="6" fillId="0" borderId="14" xfId="0" applyNumberFormat="1" applyFont="1" applyFill="1" applyBorder="1" applyAlignment="1">
      <alignment wrapText="1"/>
    </xf>
    <xf numFmtId="191" fontId="19" fillId="24" borderId="10" xfId="0" applyNumberFormat="1" applyFont="1" applyFill="1" applyBorder="1" applyAlignment="1">
      <alignment/>
    </xf>
    <xf numFmtId="191" fontId="19" fillId="0" borderId="10" xfId="0" applyNumberFormat="1" applyFont="1" applyFill="1" applyBorder="1" applyAlignment="1">
      <alignment/>
    </xf>
    <xf numFmtId="191" fontId="6" fillId="3" borderId="10" xfId="0" applyNumberFormat="1" applyFont="1" applyFill="1" applyBorder="1" applyAlignment="1">
      <alignment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191" fontId="3" fillId="0" borderId="10" xfId="0" applyNumberFormat="1" applyFont="1" applyFill="1" applyBorder="1" applyAlignment="1">
      <alignment wrapText="1"/>
    </xf>
    <xf numFmtId="191" fontId="3" fillId="3" borderId="10" xfId="0" applyNumberFormat="1"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horizontal="left" wrapText="1"/>
    </xf>
    <xf numFmtId="191" fontId="6" fillId="0" borderId="0" xfId="0" applyNumberFormat="1" applyFont="1" applyFill="1" applyAlignment="1">
      <alignment wrapText="1"/>
    </xf>
    <xf numFmtId="0" fontId="18" fillId="0" borderId="10" xfId="0" applyNumberFormat="1" applyFont="1" applyFill="1" applyBorder="1" applyAlignment="1" applyProtection="1">
      <alignment horizontal="center" vertical="center"/>
      <protection locked="0"/>
    </xf>
    <xf numFmtId="191" fontId="0" fillId="0" borderId="10" xfId="0" applyNumberFormat="1" applyFont="1" applyFill="1" applyBorder="1" applyAlignment="1">
      <alignment wrapText="1"/>
    </xf>
    <xf numFmtId="0" fontId="3" fillId="0" borderId="10" xfId="0" applyFont="1" applyFill="1" applyBorder="1" applyAlignment="1">
      <alignment vertical="center" wrapText="1"/>
    </xf>
    <xf numFmtId="0" fontId="6" fillId="0" borderId="0" xfId="0" applyFont="1" applyFill="1" applyAlignment="1">
      <alignment/>
    </xf>
    <xf numFmtId="49" fontId="11" fillId="0" borderId="0" xfId="0" applyNumberFormat="1" applyFont="1" applyFill="1" applyAlignment="1">
      <alignment horizontal="center" wrapText="1"/>
    </xf>
    <xf numFmtId="0" fontId="11" fillId="0" borderId="0" xfId="0" applyFont="1" applyFill="1" applyAlignment="1">
      <alignment/>
    </xf>
    <xf numFmtId="0" fontId="11" fillId="0" borderId="0" xfId="0" applyFont="1" applyFill="1" applyAlignment="1">
      <alignment horizontal="left"/>
    </xf>
    <xf numFmtId="0" fontId="7"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22" fillId="0" borderId="0" xfId="0" applyFont="1" applyFill="1" applyAlignment="1">
      <alignment/>
    </xf>
    <xf numFmtId="49" fontId="6" fillId="0" borderId="0" xfId="0" applyNumberFormat="1" applyFont="1" applyFill="1" applyAlignment="1">
      <alignment horizontal="center" wrapText="1"/>
    </xf>
    <xf numFmtId="0" fontId="3" fillId="0" borderId="0" xfId="0" applyFont="1" applyFill="1" applyAlignment="1">
      <alignment wrapText="1"/>
    </xf>
    <xf numFmtId="0" fontId="16" fillId="0" borderId="0" xfId="0" applyFont="1" applyFill="1" applyAlignment="1">
      <alignment/>
    </xf>
    <xf numFmtId="0" fontId="17"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protection locked="0"/>
    </xf>
    <xf numFmtId="191" fontId="3" fillId="0" borderId="10" xfId="0" applyNumberFormat="1" applyFont="1" applyFill="1" applyBorder="1" applyAlignment="1" applyProtection="1">
      <alignment/>
      <protection locked="0"/>
    </xf>
    <xf numFmtId="49" fontId="0" fillId="0" borderId="10" xfId="0" applyNumberFormat="1" applyFont="1" applyFill="1" applyBorder="1" applyAlignment="1">
      <alignment horizontal="center" wrapText="1"/>
    </xf>
    <xf numFmtId="0" fontId="0" fillId="0" borderId="11" xfId="0" applyFont="1" applyFill="1" applyBorder="1" applyAlignment="1">
      <alignment horizontal="left" wrapText="1"/>
    </xf>
    <xf numFmtId="0" fontId="23" fillId="0" borderId="0" xfId="0" applyFont="1" applyFill="1" applyBorder="1" applyAlignment="1">
      <alignment/>
    </xf>
    <xf numFmtId="0" fontId="0" fillId="0" borderId="0" xfId="0" applyFont="1" applyFill="1" applyBorder="1" applyAlignment="1">
      <alignment/>
    </xf>
    <xf numFmtId="191" fontId="6" fillId="0" borderId="0" xfId="0" applyNumberFormat="1" applyFont="1" applyFill="1" applyBorder="1" applyAlignment="1">
      <alignment/>
    </xf>
    <xf numFmtId="0" fontId="23" fillId="0" borderId="0" xfId="0" applyFont="1" applyFill="1" applyBorder="1" applyAlignment="1">
      <alignment/>
    </xf>
    <xf numFmtId="0" fontId="0" fillId="0" borderId="0" xfId="0" applyFont="1" applyFill="1" applyBorder="1" applyAlignment="1">
      <alignment/>
    </xf>
    <xf numFmtId="0" fontId="3" fillId="0" borderId="13" xfId="0" applyFont="1" applyFill="1" applyBorder="1" applyAlignment="1">
      <alignment wrapText="1"/>
    </xf>
    <xf numFmtId="49" fontId="7" fillId="0" borderId="10" xfId="0" applyNumberFormat="1" applyFont="1" applyFill="1" applyBorder="1" applyAlignment="1">
      <alignment horizontal="center" wrapText="1"/>
    </xf>
    <xf numFmtId="0" fontId="24" fillId="0" borderId="0" xfId="0" applyFont="1" applyFill="1" applyBorder="1" applyAlignment="1">
      <alignment/>
    </xf>
    <xf numFmtId="0" fontId="1" fillId="0" borderId="0" xfId="0" applyFont="1" applyFill="1" applyBorder="1" applyAlignment="1">
      <alignment/>
    </xf>
    <xf numFmtId="0" fontId="0" fillId="0" borderId="10" xfId="0" applyFont="1" applyFill="1" applyBorder="1" applyAlignment="1">
      <alignment horizontal="left" wrapText="1"/>
    </xf>
    <xf numFmtId="49" fontId="6" fillId="0" borderId="14" xfId="0" applyNumberFormat="1" applyFont="1" applyFill="1" applyBorder="1" applyAlignment="1">
      <alignment horizontal="center" wrapText="1"/>
    </xf>
    <xf numFmtId="191" fontId="3" fillId="0" borderId="14" xfId="0" applyNumberFormat="1" applyFont="1" applyFill="1" applyBorder="1" applyAlignment="1" applyProtection="1">
      <alignment/>
      <protection locked="0"/>
    </xf>
    <xf numFmtId="191" fontId="19" fillId="0" borderId="14" xfId="0" applyNumberFormat="1" applyFont="1" applyFill="1" applyBorder="1" applyAlignment="1">
      <alignment/>
    </xf>
    <xf numFmtId="191" fontId="19" fillId="0" borderId="0" xfId="0" applyNumberFormat="1" applyFont="1" applyFill="1" applyBorder="1" applyAlignment="1">
      <alignment/>
    </xf>
    <xf numFmtId="191" fontId="19" fillId="0" borderId="15" xfId="0" applyNumberFormat="1" applyFont="1" applyFill="1" applyBorder="1" applyAlignment="1">
      <alignment/>
    </xf>
    <xf numFmtId="49" fontId="7" fillId="0" borderId="0" xfId="0" applyNumberFormat="1" applyFont="1" applyFill="1" applyAlignment="1">
      <alignment horizontal="center" wrapText="1"/>
    </xf>
    <xf numFmtId="0" fontId="3" fillId="0" borderId="0" xfId="0" applyFont="1" applyFill="1" applyBorder="1" applyAlignment="1">
      <alignment/>
    </xf>
    <xf numFmtId="181" fontId="19" fillId="24" borderId="10" xfId="0" applyNumberFormat="1" applyFont="1" applyFill="1" applyBorder="1" applyAlignment="1" applyProtection="1">
      <alignment horizontal="justify" vertical="top"/>
      <protection locked="0"/>
    </xf>
    <xf numFmtId="191" fontId="16" fillId="24" borderId="0" xfId="0" applyNumberFormat="1" applyFont="1" applyFill="1" applyAlignment="1">
      <alignment/>
    </xf>
    <xf numFmtId="0" fontId="14" fillId="24" borderId="0" xfId="0" applyFont="1" applyFill="1" applyAlignment="1">
      <alignment/>
    </xf>
    <xf numFmtId="0" fontId="15" fillId="24" borderId="0" xfId="0" applyFont="1" applyFill="1" applyAlignment="1">
      <alignment/>
    </xf>
    <xf numFmtId="0" fontId="6" fillId="4" borderId="0" xfId="0" applyFont="1" applyFill="1" applyBorder="1" applyAlignment="1">
      <alignment/>
    </xf>
    <xf numFmtId="191" fontId="6" fillId="4" borderId="10" xfId="0" applyNumberFormat="1" applyFont="1" applyFill="1" applyBorder="1" applyAlignment="1">
      <alignment wrapText="1"/>
    </xf>
    <xf numFmtId="191" fontId="3" fillId="4" borderId="10" xfId="0" applyNumberFormat="1" applyFont="1" applyFill="1" applyBorder="1" applyAlignment="1" applyProtection="1">
      <alignment/>
      <protection locked="0"/>
    </xf>
    <xf numFmtId="191" fontId="19" fillId="4" borderId="10" xfId="0" applyNumberFormat="1" applyFont="1" applyFill="1" applyBorder="1" applyAlignment="1">
      <alignment/>
    </xf>
    <xf numFmtId="49" fontId="10" fillId="4" borderId="11" xfId="0" applyNumberFormat="1" applyFont="1" applyFill="1" applyBorder="1" applyAlignment="1">
      <alignment horizontal="center" wrapText="1"/>
    </xf>
    <xf numFmtId="0" fontId="10" fillId="4" borderId="10" xfId="0" applyNumberFormat="1" applyFont="1" applyFill="1" applyBorder="1" applyAlignment="1">
      <alignment horizontal="justify"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7" xfId="0" applyFont="1" applyFill="1" applyBorder="1" applyAlignment="1">
      <alignment horizontal="center" wrapText="1"/>
    </xf>
    <xf numFmtId="0" fontId="6" fillId="4" borderId="18" xfId="0" applyFont="1" applyFill="1" applyBorder="1" applyAlignment="1">
      <alignment horizontal="center" vertical="center" wrapText="1"/>
    </xf>
    <xf numFmtId="49" fontId="3" fillId="4" borderId="10" xfId="0" applyNumberFormat="1" applyFont="1" applyFill="1" applyBorder="1" applyAlignment="1">
      <alignment horizontal="center" wrapText="1"/>
    </xf>
    <xf numFmtId="191" fontId="3" fillId="4" borderId="10" xfId="0" applyNumberFormat="1" applyFont="1" applyFill="1" applyBorder="1" applyAlignment="1">
      <alignment wrapText="1"/>
    </xf>
    <xf numFmtId="0" fontId="3" fillId="4" borderId="0" xfId="0" applyFont="1" applyFill="1" applyBorder="1" applyAlignment="1">
      <alignment/>
    </xf>
    <xf numFmtId="0" fontId="10" fillId="4" borderId="19" xfId="0" applyFont="1" applyFill="1" applyBorder="1" applyAlignment="1">
      <alignment horizontal="center" wrapText="1"/>
    </xf>
    <xf numFmtId="0" fontId="10" fillId="4" borderId="0" xfId="0" applyFont="1" applyFill="1" applyBorder="1" applyAlignment="1">
      <alignment/>
    </xf>
    <xf numFmtId="49" fontId="6" fillId="3" borderId="10" xfId="0" applyNumberFormat="1" applyFont="1" applyFill="1" applyBorder="1" applyAlignment="1">
      <alignment horizontal="center" wrapText="1"/>
    </xf>
    <xf numFmtId="0" fontId="3" fillId="3" borderId="11" xfId="0" applyFont="1" applyFill="1" applyBorder="1" applyAlignment="1">
      <alignment wrapText="1"/>
    </xf>
    <xf numFmtId="191" fontId="0" fillId="3" borderId="10" xfId="0" applyNumberFormat="1" applyFont="1" applyFill="1" applyBorder="1" applyAlignment="1">
      <alignment wrapText="1"/>
    </xf>
    <xf numFmtId="0" fontId="23" fillId="3" borderId="0" xfId="0" applyFont="1" applyFill="1" applyBorder="1" applyAlignment="1">
      <alignment/>
    </xf>
    <xf numFmtId="0" fontId="0" fillId="3" borderId="0" xfId="0" applyFont="1" applyFill="1" applyBorder="1" applyAlignment="1">
      <alignment/>
    </xf>
    <xf numFmtId="1" fontId="3" fillId="3" borderId="11" xfId="0" applyNumberFormat="1" applyFont="1" applyFill="1" applyBorder="1" applyAlignment="1">
      <alignment wrapText="1"/>
    </xf>
    <xf numFmtId="191" fontId="19" fillId="3" borderId="10" xfId="0" applyNumberFormat="1" applyFont="1" applyFill="1" applyBorder="1" applyAlignment="1" applyProtection="1">
      <alignment/>
      <protection locked="0"/>
    </xf>
    <xf numFmtId="0" fontId="6" fillId="3" borderId="0" xfId="0" applyFont="1" applyFill="1" applyBorder="1" applyAlignment="1">
      <alignment/>
    </xf>
    <xf numFmtId="185" fontId="6" fillId="3" borderId="0" xfId="0" applyNumberFormat="1" applyFont="1" applyFill="1" applyBorder="1" applyAlignment="1">
      <alignment/>
    </xf>
    <xf numFmtId="0" fontId="3" fillId="3" borderId="13" xfId="0" applyFont="1" applyFill="1" applyBorder="1" applyAlignment="1">
      <alignment wrapText="1"/>
    </xf>
    <xf numFmtId="0" fontId="3" fillId="3" borderId="12" xfId="0" applyFont="1" applyFill="1" applyBorder="1" applyAlignment="1">
      <alignment wrapText="1"/>
    </xf>
    <xf numFmtId="49" fontId="7" fillId="3" borderId="10" xfId="0" applyNumberFormat="1" applyFont="1" applyFill="1" applyBorder="1" applyAlignment="1">
      <alignment horizontal="center" wrapText="1"/>
    </xf>
    <xf numFmtId="0" fontId="23" fillId="3" borderId="0" xfId="0" applyFont="1" applyFill="1" applyBorder="1" applyAlignment="1">
      <alignment/>
    </xf>
    <xf numFmtId="0" fontId="0" fillId="3" borderId="0" xfId="0" applyFont="1" applyFill="1" applyBorder="1" applyAlignment="1">
      <alignment/>
    </xf>
    <xf numFmtId="0" fontId="3" fillId="3" borderId="11" xfId="0" applyFont="1" applyFill="1" applyBorder="1" applyAlignment="1">
      <alignment horizontal="left" wrapText="1"/>
    </xf>
    <xf numFmtId="0" fontId="8" fillId="3" borderId="0" xfId="0" applyFont="1" applyFill="1" applyBorder="1" applyAlignment="1">
      <alignment/>
    </xf>
    <xf numFmtId="49" fontId="3" fillId="3" borderId="10" xfId="0" applyNumberFormat="1" applyFont="1" applyFill="1" applyBorder="1" applyAlignment="1">
      <alignment horizontal="center" wrapText="1"/>
    </xf>
    <xf numFmtId="0" fontId="3" fillId="3" borderId="10" xfId="0" applyFont="1" applyFill="1" applyBorder="1" applyAlignment="1">
      <alignment horizontal="left" wrapText="1"/>
    </xf>
    <xf numFmtId="0" fontId="3" fillId="3" borderId="10" xfId="0" applyFont="1" applyFill="1" applyBorder="1" applyAlignment="1">
      <alignment wrapText="1"/>
    </xf>
    <xf numFmtId="1" fontId="10" fillId="24" borderId="11" xfId="0" applyNumberFormat="1" applyFont="1" applyFill="1" applyBorder="1" applyAlignment="1">
      <alignment wrapText="1"/>
    </xf>
    <xf numFmtId="191" fontId="3" fillId="24" borderId="10" xfId="0" applyNumberFormat="1" applyFont="1" applyFill="1" applyBorder="1" applyAlignment="1">
      <alignment wrapText="1"/>
    </xf>
    <xf numFmtId="0" fontId="10" fillId="4" borderId="11" xfId="0" applyFont="1" applyFill="1" applyBorder="1" applyAlignment="1">
      <alignment horizontal="left" wrapText="1"/>
    </xf>
    <xf numFmtId="191" fontId="19" fillId="4" borderId="10" xfId="0" applyNumberFormat="1" applyFont="1" applyFill="1" applyBorder="1" applyAlignment="1" applyProtection="1">
      <alignment/>
      <protection locked="0"/>
    </xf>
    <xf numFmtId="0" fontId="10" fillId="3" borderId="0" xfId="0" applyFont="1" applyFill="1" applyBorder="1" applyAlignment="1">
      <alignment/>
    </xf>
    <xf numFmtId="49" fontId="10" fillId="3" borderId="10" xfId="0" applyNumberFormat="1" applyFont="1" applyFill="1" applyBorder="1" applyAlignment="1">
      <alignment horizontal="center" wrapText="1"/>
    </xf>
    <xf numFmtId="0" fontId="10" fillId="3" borderId="10" xfId="0" applyFont="1" applyFill="1" applyBorder="1" applyAlignment="1">
      <alignment horizontal="left" wrapText="1"/>
    </xf>
    <xf numFmtId="191" fontId="10" fillId="3" borderId="10" xfId="0" applyNumberFormat="1" applyFont="1" applyFill="1" applyBorder="1" applyAlignment="1">
      <alignment wrapText="1"/>
    </xf>
    <xf numFmtId="191" fontId="10" fillId="3" borderId="10" xfId="0" applyNumberFormat="1" applyFont="1" applyFill="1" applyBorder="1" applyAlignment="1" applyProtection="1">
      <alignment/>
      <protection locked="0"/>
    </xf>
    <xf numFmtId="49" fontId="10" fillId="4" borderId="10" xfId="0" applyNumberFormat="1" applyFont="1" applyFill="1" applyBorder="1" applyAlignment="1">
      <alignment horizontal="center" wrapText="1"/>
    </xf>
    <xf numFmtId="0" fontId="10" fillId="4" borderId="10" xfId="0" applyFont="1" applyFill="1" applyBorder="1" applyAlignment="1">
      <alignment horizontal="left" wrapText="1"/>
    </xf>
    <xf numFmtId="191" fontId="10" fillId="4" borderId="10" xfId="0" applyNumberFormat="1" applyFont="1" applyFill="1" applyBorder="1" applyAlignment="1">
      <alignment wrapText="1"/>
    </xf>
    <xf numFmtId="191" fontId="10" fillId="4" borderId="10" xfId="0" applyNumberFormat="1" applyFont="1" applyFill="1" applyBorder="1" applyAlignment="1" applyProtection="1">
      <alignment/>
      <protection locked="0"/>
    </xf>
    <xf numFmtId="191" fontId="26" fillId="0" borderId="10" xfId="0" applyNumberFormat="1" applyFont="1" applyFill="1" applyBorder="1" applyAlignment="1">
      <alignment wrapText="1"/>
    </xf>
    <xf numFmtId="49" fontId="3" fillId="24" borderId="10" xfId="0" applyNumberFormat="1" applyFont="1" applyFill="1" applyBorder="1" applyAlignment="1">
      <alignment horizontal="center" wrapText="1"/>
    </xf>
    <xf numFmtId="0" fontId="10" fillId="24" borderId="11" xfId="0" applyFont="1" applyFill="1" applyBorder="1" applyAlignment="1">
      <alignment horizontal="left" wrapText="1"/>
    </xf>
    <xf numFmtId="0" fontId="3" fillId="24" borderId="0" xfId="0" applyFont="1" applyFill="1" applyBorder="1" applyAlignment="1">
      <alignment/>
    </xf>
    <xf numFmtId="191" fontId="27" fillId="4" borderId="10" xfId="0" applyNumberFormat="1" applyFont="1" applyFill="1" applyBorder="1" applyAlignment="1">
      <alignment/>
    </xf>
    <xf numFmtId="191" fontId="19" fillId="24" borderId="0" xfId="0" applyNumberFormat="1" applyFont="1" applyFill="1" applyAlignment="1">
      <alignment/>
    </xf>
    <xf numFmtId="0" fontId="19" fillId="24" borderId="0" xfId="0" applyFont="1" applyFill="1" applyAlignment="1">
      <alignment/>
    </xf>
    <xf numFmtId="0" fontId="28" fillId="24" borderId="0" xfId="0" applyFont="1" applyFill="1" applyAlignment="1">
      <alignment/>
    </xf>
    <xf numFmtId="181" fontId="27" fillId="24" borderId="10" xfId="0" applyNumberFormat="1" applyFont="1" applyFill="1" applyBorder="1" applyAlignment="1" applyProtection="1">
      <alignment horizontal="justify" vertical="top"/>
      <protection locked="0"/>
    </xf>
    <xf numFmtId="191" fontId="16" fillId="24" borderId="0" xfId="0" applyNumberFormat="1" applyFont="1" applyFill="1" applyAlignment="1">
      <alignment horizontal="center"/>
    </xf>
    <xf numFmtId="0" fontId="19" fillId="24" borderId="10" xfId="0" applyFont="1" applyFill="1" applyBorder="1" applyAlignment="1">
      <alignment horizontal="center"/>
    </xf>
    <xf numFmtId="0" fontId="14" fillId="24" borderId="0" xfId="0" applyFont="1" applyFill="1" applyAlignment="1">
      <alignment/>
    </xf>
    <xf numFmtId="0" fontId="15" fillId="24" borderId="0" xfId="0" applyFont="1" applyFill="1" applyAlignment="1">
      <alignment/>
    </xf>
    <xf numFmtId="181" fontId="27" fillId="24" borderId="10" xfId="0" applyNumberFormat="1" applyFont="1" applyFill="1" applyBorder="1" applyAlignment="1" applyProtection="1">
      <alignment horizontal="justify"/>
      <protection locked="0"/>
    </xf>
    <xf numFmtId="191" fontId="16" fillId="24" borderId="0" xfId="0" applyNumberFormat="1" applyFont="1" applyFill="1" applyAlignment="1">
      <alignment/>
    </xf>
    <xf numFmtId="0" fontId="10" fillId="24" borderId="11" xfId="0" applyFont="1" applyFill="1" applyBorder="1" applyAlignment="1">
      <alignment wrapText="1"/>
    </xf>
    <xf numFmtId="191" fontId="19" fillId="24" borderId="15" xfId="0" applyNumberFormat="1" applyFont="1" applyFill="1" applyBorder="1" applyAlignment="1">
      <alignment/>
    </xf>
    <xf numFmtId="0" fontId="16" fillId="24" borderId="0" xfId="0" applyFont="1" applyFill="1" applyAlignment="1">
      <alignment/>
    </xf>
    <xf numFmtId="191" fontId="27" fillId="4" borderId="15" xfId="0" applyNumberFormat="1" applyFont="1" applyFill="1" applyBorder="1" applyAlignment="1">
      <alignment/>
    </xf>
    <xf numFmtId="191" fontId="19" fillId="24" borderId="0" xfId="0" applyNumberFormat="1" applyFont="1" applyFill="1" applyBorder="1" applyAlignment="1">
      <alignment/>
    </xf>
    <xf numFmtId="0" fontId="16" fillId="24" borderId="0" xfId="0" applyFont="1" applyFill="1" applyBorder="1" applyAlignment="1">
      <alignment/>
    </xf>
    <xf numFmtId="0" fontId="14" fillId="24" borderId="0" xfId="0" applyFont="1" applyFill="1" applyBorder="1" applyAlignment="1">
      <alignment/>
    </xf>
    <xf numFmtId="0" fontId="15" fillId="24" borderId="0" xfId="0" applyFont="1" applyFill="1" applyBorder="1" applyAlignment="1">
      <alignment/>
    </xf>
    <xf numFmtId="191" fontId="27" fillId="4" borderId="0" xfId="0" applyNumberFormat="1" applyFont="1" applyFill="1" applyBorder="1" applyAlignment="1">
      <alignment/>
    </xf>
    <xf numFmtId="1" fontId="10" fillId="24" borderId="10" xfId="0" applyNumberFormat="1" applyFont="1" applyFill="1" applyBorder="1" applyAlignment="1">
      <alignment wrapText="1"/>
    </xf>
    <xf numFmtId="1" fontId="10" fillId="4" borderId="10" xfId="0" applyNumberFormat="1" applyFont="1" applyFill="1" applyBorder="1" applyAlignment="1">
      <alignment wrapText="1"/>
    </xf>
    <xf numFmtId="0" fontId="27" fillId="4" borderId="10" xfId="0" applyFont="1" applyFill="1" applyBorder="1" applyAlignment="1">
      <alignment horizontal="center"/>
    </xf>
    <xf numFmtId="0" fontId="27" fillId="4" borderId="0" xfId="0" applyFont="1" applyFill="1" applyAlignment="1">
      <alignment/>
    </xf>
    <xf numFmtId="0" fontId="29" fillId="4" borderId="0" xfId="0" applyFont="1" applyFill="1" applyAlignment="1">
      <alignment/>
    </xf>
    <xf numFmtId="0" fontId="19" fillId="0" borderId="10" xfId="0" applyFont="1" applyFill="1" applyBorder="1" applyAlignment="1">
      <alignment horizontal="center"/>
    </xf>
    <xf numFmtId="0" fontId="16"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0" fillId="24" borderId="10" xfId="0" applyFont="1" applyFill="1" applyBorder="1" applyAlignment="1">
      <alignment wrapText="1"/>
    </xf>
    <xf numFmtId="0" fontId="10" fillId="4" borderId="10" xfId="0" applyFont="1" applyFill="1" applyBorder="1" applyAlignment="1">
      <alignment wrapText="1"/>
    </xf>
    <xf numFmtId="1" fontId="10" fillId="4" borderId="10" xfId="0" applyNumberFormat="1" applyFont="1" applyFill="1" applyBorder="1" applyAlignment="1">
      <alignment horizontal="left" wrapText="1"/>
    </xf>
    <xf numFmtId="0" fontId="10" fillId="4" borderId="0" xfId="0" applyFont="1" applyFill="1" applyBorder="1" applyAlignment="1">
      <alignment/>
    </xf>
    <xf numFmtId="0" fontId="6" fillId="4" borderId="0" xfId="0" applyFont="1" applyFill="1" applyAlignment="1">
      <alignment/>
    </xf>
    <xf numFmtId="0" fontId="7" fillId="4" borderId="0" xfId="0" applyFont="1" applyFill="1" applyAlignment="1">
      <alignment/>
    </xf>
    <xf numFmtId="0" fontId="10" fillId="0" borderId="0" xfId="0" applyFont="1" applyFill="1" applyAlignment="1">
      <alignment wrapText="1"/>
    </xf>
    <xf numFmtId="0" fontId="3" fillId="24" borderId="0" xfId="0" applyFont="1" applyFill="1" applyAlignment="1">
      <alignment/>
    </xf>
    <xf numFmtId="0" fontId="6" fillId="4" borderId="10" xfId="0" applyFont="1" applyFill="1" applyBorder="1" applyAlignment="1">
      <alignment wrapText="1"/>
    </xf>
    <xf numFmtId="0" fontId="7" fillId="4" borderId="10" xfId="0" applyFont="1" applyFill="1" applyBorder="1" applyAlignment="1">
      <alignment wrapText="1"/>
    </xf>
    <xf numFmtId="181" fontId="3" fillId="24" borderId="10" xfId="0" applyNumberFormat="1" applyFont="1" applyFill="1" applyBorder="1" applyAlignment="1">
      <alignment wrapText="1"/>
    </xf>
    <xf numFmtId="0" fontId="6" fillId="3" borderId="0" xfId="0" applyFont="1" applyFill="1" applyAlignment="1">
      <alignment/>
    </xf>
    <xf numFmtId="0" fontId="7" fillId="3" borderId="0" xfId="0" applyFont="1" applyFill="1" applyAlignment="1">
      <alignment/>
    </xf>
    <xf numFmtId="191" fontId="7" fillId="0" borderId="0" xfId="0" applyNumberFormat="1" applyFont="1" applyFill="1" applyAlignment="1">
      <alignment wrapText="1"/>
    </xf>
    <xf numFmtId="191" fontId="10" fillId="0" borderId="0" xfId="0" applyNumberFormat="1" applyFont="1" applyFill="1" applyAlignment="1">
      <alignment wrapText="1"/>
    </xf>
    <xf numFmtId="0" fontId="3" fillId="3" borderId="13" xfId="0" applyFont="1" applyFill="1" applyBorder="1" applyAlignment="1">
      <alignment horizontal="left" wrapText="1"/>
    </xf>
    <xf numFmtId="191" fontId="3" fillId="24" borderId="0" xfId="0" applyNumberFormat="1" applyFont="1" applyFill="1" applyBorder="1" applyAlignment="1">
      <alignment/>
    </xf>
    <xf numFmtId="0" fontId="3" fillId="26" borderId="0" xfId="0" applyFont="1" applyFill="1" applyAlignment="1">
      <alignment/>
    </xf>
    <xf numFmtId="191" fontId="3" fillId="4" borderId="0" xfId="0" applyNumberFormat="1" applyFont="1" applyFill="1" applyBorder="1" applyAlignment="1">
      <alignment/>
    </xf>
    <xf numFmtId="185" fontId="3" fillId="4" borderId="0" xfId="0" applyNumberFormat="1" applyFont="1" applyFill="1" applyBorder="1" applyAlignment="1">
      <alignment/>
    </xf>
    <xf numFmtId="49" fontId="3" fillId="26" borderId="10" xfId="0" applyNumberFormat="1" applyFont="1" applyFill="1" applyBorder="1" applyAlignment="1">
      <alignment horizontal="center" wrapText="1"/>
    </xf>
    <xf numFmtId="191" fontId="3" fillId="26" borderId="10" xfId="0" applyNumberFormat="1" applyFont="1" applyFill="1" applyBorder="1" applyAlignment="1">
      <alignment wrapText="1"/>
    </xf>
    <xf numFmtId="0" fontId="10" fillId="26" borderId="10" xfId="0" applyFont="1" applyFill="1" applyBorder="1" applyAlignment="1">
      <alignment wrapText="1"/>
    </xf>
    <xf numFmtId="49" fontId="30" fillId="0" borderId="0" xfId="0" applyNumberFormat="1" applyFont="1" applyFill="1" applyAlignment="1">
      <alignment horizontal="left"/>
    </xf>
    <xf numFmtId="0" fontId="30" fillId="0" borderId="0" xfId="0" applyFont="1" applyFill="1" applyAlignment="1">
      <alignment wrapText="1"/>
    </xf>
    <xf numFmtId="191" fontId="30" fillId="0" borderId="0" xfId="0" applyNumberFormat="1" applyFont="1" applyFill="1" applyAlignment="1">
      <alignment wrapText="1"/>
    </xf>
    <xf numFmtId="191" fontId="30" fillId="0" borderId="0" xfId="0" applyNumberFormat="1" applyFont="1" applyFill="1" applyAlignment="1">
      <alignment/>
    </xf>
    <xf numFmtId="0" fontId="30" fillId="0" borderId="0" xfId="0" applyFont="1" applyFill="1" applyAlignment="1">
      <alignment/>
    </xf>
    <xf numFmtId="0" fontId="3" fillId="0" borderId="12" xfId="0" applyFont="1" applyFill="1" applyBorder="1" applyAlignment="1">
      <alignment vertical="top" wrapText="1"/>
    </xf>
    <xf numFmtId="191" fontId="6" fillId="0" borderId="17" xfId="0" applyNumberFormat="1" applyFont="1" applyFill="1" applyBorder="1" applyAlignment="1">
      <alignment wrapText="1"/>
    </xf>
    <xf numFmtId="191" fontId="3" fillId="0" borderId="17" xfId="0" applyNumberFormat="1" applyFont="1" applyFill="1" applyBorder="1" applyAlignment="1" applyProtection="1">
      <alignment/>
      <protection locked="0"/>
    </xf>
    <xf numFmtId="191" fontId="19" fillId="0" borderId="17" xfId="0" applyNumberFormat="1" applyFont="1" applyFill="1" applyBorder="1" applyAlignment="1">
      <alignment/>
    </xf>
    <xf numFmtId="191" fontId="6" fillId="24" borderId="0" xfId="0" applyNumberFormat="1" applyFont="1" applyFill="1" applyBorder="1" applyAlignment="1">
      <alignment/>
    </xf>
    <xf numFmtId="191" fontId="7" fillId="4" borderId="0" xfId="0" applyNumberFormat="1" applyFont="1" applyFill="1" applyAlignment="1">
      <alignment/>
    </xf>
    <xf numFmtId="191" fontId="25" fillId="0" borderId="0" xfId="0" applyNumberFormat="1" applyFont="1" applyFill="1" applyAlignment="1">
      <alignment wrapText="1"/>
    </xf>
    <xf numFmtId="191" fontId="6" fillId="0" borderId="0" xfId="0" applyNumberFormat="1" applyFont="1" applyFill="1" applyBorder="1" applyAlignment="1">
      <alignment wrapText="1"/>
    </xf>
    <xf numFmtId="191" fontId="16" fillId="0" borderId="10" xfId="0" applyNumberFormat="1" applyFont="1" applyFill="1" applyBorder="1" applyAlignment="1" applyProtection="1">
      <alignment/>
      <protection locked="0"/>
    </xf>
    <xf numFmtId="0" fontId="20" fillId="0" borderId="0" xfId="0" applyFont="1" applyFill="1" applyAlignment="1" applyProtection="1">
      <alignment horizontal="center" wrapText="1"/>
      <protection locked="0"/>
    </xf>
    <xf numFmtId="0" fontId="21" fillId="0" borderId="0" xfId="0" applyFont="1" applyFill="1" applyAlignment="1">
      <alignment horizontal="center"/>
    </xf>
    <xf numFmtId="0" fontId="8" fillId="0" borderId="0" xfId="0" applyFont="1" applyFill="1" applyBorder="1" applyAlignment="1">
      <alignment horizontal="center" wrapText="1"/>
    </xf>
    <xf numFmtId="193" fontId="12"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0" fillId="0" borderId="10" xfId="0" applyFont="1" applyFill="1" applyBorder="1" applyAlignment="1">
      <alignment horizontal="center"/>
    </xf>
    <xf numFmtId="0" fontId="13" fillId="0" borderId="10" xfId="0" applyFont="1" applyFill="1" applyBorder="1" applyAlignment="1">
      <alignment horizontal="center" vertical="center"/>
    </xf>
    <xf numFmtId="49" fontId="6" fillId="0" borderId="13"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9" fontId="6" fillId="3" borderId="14" xfId="0" applyNumberFormat="1" applyFont="1" applyFill="1" applyBorder="1" applyAlignment="1">
      <alignment horizontal="center" wrapText="1"/>
    </xf>
    <xf numFmtId="49" fontId="6" fillId="3" borderId="17"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14"/>
  <sheetViews>
    <sheetView tabSelected="1" view="pageBreakPreview" zoomScale="60" zoomScalePageLayoutView="0" workbookViewId="0" topLeftCell="A7">
      <pane xSplit="2" ySplit="6" topLeftCell="C113" activePane="bottomRight" state="frozen"/>
      <selection pane="topLeft" activeCell="A7" sqref="A7"/>
      <selection pane="topRight" activeCell="C7" sqref="C7"/>
      <selection pane="bottomLeft" activeCell="A13" sqref="A13"/>
      <selection pane="bottomRight" activeCell="L117" sqref="L117"/>
    </sheetView>
  </sheetViews>
  <sheetFormatPr defaultColWidth="9.00390625" defaultRowHeight="12.75"/>
  <cols>
    <col min="1" max="1" width="16.25390625" style="75" customWidth="1"/>
    <col min="2" max="2" width="62.25390625" style="53" customWidth="1"/>
    <col min="3" max="3" width="19.25390625" style="2" customWidth="1"/>
    <col min="4" max="4" width="18.625" style="2" customWidth="1"/>
    <col min="5" max="5" width="16.25390625" style="2" customWidth="1"/>
    <col min="6" max="6" width="17.25390625" style="2" customWidth="1"/>
    <col min="7" max="7" width="18.00390625" style="2" customWidth="1"/>
    <col min="8" max="8" width="15.125" style="2" customWidth="1"/>
    <col min="9" max="9" width="13.125" style="2" customWidth="1"/>
    <col min="10" max="10" width="17.875" style="2" customWidth="1"/>
    <col min="11" max="11" width="17.375" style="2" customWidth="1"/>
    <col min="12" max="12" width="16.875" style="2" customWidth="1"/>
    <col min="13" max="13" width="20.00390625" style="2" customWidth="1"/>
    <col min="14" max="14" width="18.75390625" style="44" customWidth="1"/>
    <col min="15" max="15" width="23.25390625" style="48" customWidth="1"/>
    <col min="16" max="16" width="13.00390625" style="48" customWidth="1"/>
    <col min="17" max="17" width="13.375" style="48" customWidth="1"/>
    <col min="18" max="18" width="9.125" style="48" customWidth="1"/>
    <col min="19" max="19" width="9.375" style="48" bestFit="1" customWidth="1"/>
    <col min="20" max="20" width="9.125" style="48" customWidth="1"/>
    <col min="21" max="21" width="11.875" style="48" bestFit="1" customWidth="1"/>
    <col min="22" max="22" width="9.375" style="48" bestFit="1" customWidth="1"/>
    <col min="23" max="16384" width="9.125" style="48" customWidth="1"/>
  </cols>
  <sheetData>
    <row r="1" spans="1:13" ht="27" customHeight="1">
      <c r="A1" s="45"/>
      <c r="B1" s="6"/>
      <c r="C1" s="6"/>
      <c r="D1" s="6"/>
      <c r="E1" s="6"/>
      <c r="F1" s="6"/>
      <c r="G1" s="6"/>
      <c r="H1" s="6"/>
      <c r="I1" s="46" t="s">
        <v>160</v>
      </c>
      <c r="J1" s="47"/>
      <c r="K1" s="46"/>
      <c r="L1" s="6"/>
      <c r="M1" s="6"/>
    </row>
    <row r="2" spans="1:13" ht="23.25" customHeight="1">
      <c r="A2" s="45"/>
      <c r="B2" s="6"/>
      <c r="C2" s="6"/>
      <c r="D2" s="6"/>
      <c r="E2" s="6"/>
      <c r="F2" s="6"/>
      <c r="G2" s="6"/>
      <c r="H2" s="6"/>
      <c r="I2" s="47" t="s">
        <v>302</v>
      </c>
      <c r="J2" s="47"/>
      <c r="K2" s="47"/>
      <c r="L2" s="6"/>
      <c r="M2" s="6"/>
    </row>
    <row r="3" spans="1:13" ht="24.75" customHeight="1">
      <c r="A3" s="45"/>
      <c r="B3" s="6"/>
      <c r="C3" s="6"/>
      <c r="D3" s="6"/>
      <c r="E3" s="6"/>
      <c r="F3" s="6"/>
      <c r="G3" s="6"/>
      <c r="H3" s="6"/>
      <c r="I3" s="47" t="s">
        <v>248</v>
      </c>
      <c r="J3" s="47"/>
      <c r="K3" s="47"/>
      <c r="L3" s="6"/>
      <c r="M3" s="6"/>
    </row>
    <row r="4" spans="1:41" s="50" customFormat="1" ht="22.5" customHeight="1">
      <c r="A4" s="198" t="s">
        <v>249</v>
      </c>
      <c r="B4" s="198"/>
      <c r="C4" s="198"/>
      <c r="D4" s="198"/>
      <c r="E4" s="198"/>
      <c r="F4" s="198"/>
      <c r="G4" s="198"/>
      <c r="H4" s="198"/>
      <c r="I4" s="198"/>
      <c r="J4" s="198"/>
      <c r="K4" s="198"/>
      <c r="L4" s="198"/>
      <c r="M4" s="198"/>
      <c r="N4" s="198"/>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row>
    <row r="5" spans="1:42" s="50" customFormat="1" ht="23.25" customHeight="1">
      <c r="A5" s="199" t="s">
        <v>234</v>
      </c>
      <c r="B5" s="199"/>
      <c r="C5" s="199"/>
      <c r="D5" s="199"/>
      <c r="E5" s="199"/>
      <c r="F5" s="199"/>
      <c r="G5" s="199"/>
      <c r="H5" s="199"/>
      <c r="I5" s="199"/>
      <c r="J5" s="199"/>
      <c r="K5" s="199"/>
      <c r="L5" s="199"/>
      <c r="M5" s="199"/>
      <c r="N5" s="51"/>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row>
    <row r="6" spans="1:13" s="44" customFormat="1" ht="18.75">
      <c r="A6" s="52"/>
      <c r="B6" s="53"/>
      <c r="C6" s="3"/>
      <c r="D6" s="3"/>
      <c r="E6" s="3"/>
      <c r="F6" s="3"/>
      <c r="G6" s="3"/>
      <c r="H6" s="3"/>
      <c r="I6" s="3"/>
      <c r="J6" s="3"/>
      <c r="K6" s="200" t="s">
        <v>66</v>
      </c>
      <c r="L6" s="200"/>
      <c r="M6" s="200"/>
    </row>
    <row r="7" spans="1:41" s="50" customFormat="1" ht="19.5" customHeight="1">
      <c r="A7" s="201" t="s">
        <v>235</v>
      </c>
      <c r="B7" s="202" t="s">
        <v>34</v>
      </c>
      <c r="C7" s="205" t="s">
        <v>26</v>
      </c>
      <c r="D7" s="206"/>
      <c r="E7" s="206"/>
      <c r="F7" s="205" t="s">
        <v>28</v>
      </c>
      <c r="G7" s="205"/>
      <c r="H7" s="205"/>
      <c r="I7" s="205"/>
      <c r="J7" s="205"/>
      <c r="K7" s="205"/>
      <c r="L7" s="205"/>
      <c r="M7" s="203" t="s">
        <v>35</v>
      </c>
      <c r="N7" s="54"/>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row>
    <row r="8" spans="1:41" s="50" customFormat="1" ht="19.5" customHeight="1">
      <c r="A8" s="201"/>
      <c r="B8" s="202"/>
      <c r="C8" s="207" t="s">
        <v>36</v>
      </c>
      <c r="D8" s="209" t="s">
        <v>37</v>
      </c>
      <c r="E8" s="209"/>
      <c r="F8" s="210" t="s">
        <v>36</v>
      </c>
      <c r="G8" s="202" t="s">
        <v>112</v>
      </c>
      <c r="H8" s="209" t="s">
        <v>38</v>
      </c>
      <c r="I8" s="212"/>
      <c r="J8" s="202" t="s">
        <v>113</v>
      </c>
      <c r="K8" s="202" t="s">
        <v>39</v>
      </c>
      <c r="L8" s="202"/>
      <c r="M8" s="203"/>
      <c r="N8" s="54"/>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row>
    <row r="9" spans="1:41" s="50" customFormat="1" ht="16.5" customHeight="1">
      <c r="A9" s="201"/>
      <c r="B9" s="202"/>
      <c r="C9" s="208"/>
      <c r="D9" s="202" t="s">
        <v>27</v>
      </c>
      <c r="E9" s="202" t="s">
        <v>40</v>
      </c>
      <c r="F9" s="211"/>
      <c r="G9" s="204"/>
      <c r="H9" s="202" t="s">
        <v>27</v>
      </c>
      <c r="I9" s="202" t="s">
        <v>40</v>
      </c>
      <c r="J9" s="204"/>
      <c r="K9" s="204" t="s">
        <v>41</v>
      </c>
      <c r="L9" s="55" t="s">
        <v>39</v>
      </c>
      <c r="M9" s="203"/>
      <c r="N9" s="54"/>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row>
    <row r="10" spans="1:41" s="50" customFormat="1" ht="16.5" customHeight="1">
      <c r="A10" s="201"/>
      <c r="B10" s="202"/>
      <c r="C10" s="208"/>
      <c r="D10" s="202"/>
      <c r="E10" s="202"/>
      <c r="F10" s="211"/>
      <c r="G10" s="204"/>
      <c r="H10" s="202"/>
      <c r="I10" s="202"/>
      <c r="J10" s="204"/>
      <c r="K10" s="204"/>
      <c r="L10" s="204" t="s">
        <v>9</v>
      </c>
      <c r="M10" s="203"/>
      <c r="N10" s="54"/>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row>
    <row r="11" spans="1:41" s="50" customFormat="1" ht="177.75" customHeight="1">
      <c r="A11" s="201"/>
      <c r="B11" s="202"/>
      <c r="C11" s="208"/>
      <c r="D11" s="202"/>
      <c r="E11" s="202"/>
      <c r="F11" s="211"/>
      <c r="G11" s="204"/>
      <c r="H11" s="202"/>
      <c r="I11" s="202"/>
      <c r="J11" s="204"/>
      <c r="K11" s="204"/>
      <c r="L11" s="204"/>
      <c r="M11" s="203"/>
      <c r="N11" s="54"/>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row>
    <row r="12" spans="1:41" s="50" customFormat="1" ht="18" customHeight="1">
      <c r="A12" s="41">
        <v>1</v>
      </c>
      <c r="B12" s="41">
        <v>2</v>
      </c>
      <c r="C12" s="41">
        <v>3</v>
      </c>
      <c r="D12" s="41">
        <v>4</v>
      </c>
      <c r="E12" s="41">
        <v>5</v>
      </c>
      <c r="F12" s="56">
        <v>6</v>
      </c>
      <c r="G12" s="41">
        <v>7</v>
      </c>
      <c r="H12" s="41">
        <v>8</v>
      </c>
      <c r="I12" s="41">
        <v>9</v>
      </c>
      <c r="J12" s="41">
        <v>10</v>
      </c>
      <c r="K12" s="41">
        <v>11</v>
      </c>
      <c r="L12" s="41">
        <v>12</v>
      </c>
      <c r="M12" s="41" t="s">
        <v>42</v>
      </c>
      <c r="N12" s="54"/>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row>
    <row r="13" spans="1:13" s="81" customFormat="1" ht="27" customHeight="1">
      <c r="A13" s="85" t="s">
        <v>159</v>
      </c>
      <c r="B13" s="86" t="s">
        <v>158</v>
      </c>
      <c r="C13" s="87"/>
      <c r="D13" s="88"/>
      <c r="E13" s="88"/>
      <c r="F13" s="89"/>
      <c r="G13" s="88"/>
      <c r="H13" s="88"/>
      <c r="I13" s="88"/>
      <c r="J13" s="88"/>
      <c r="K13" s="88"/>
      <c r="L13" s="88"/>
      <c r="M13" s="90"/>
    </row>
    <row r="14" spans="1:13" s="4" customFormat="1" ht="57.75" customHeight="1">
      <c r="A14" s="1" t="s">
        <v>30</v>
      </c>
      <c r="B14" s="13" t="s">
        <v>282</v>
      </c>
      <c r="C14" s="26">
        <f>5381+129.09256-300-25-99.877</f>
        <v>5085.21556</v>
      </c>
      <c r="D14" s="26">
        <f>3009.7-46.697</f>
        <v>2963.0029999999997</v>
      </c>
      <c r="E14" s="26">
        <v>78.6</v>
      </c>
      <c r="F14" s="57">
        <f>G14+J14</f>
        <v>638.9010000000001</v>
      </c>
      <c r="G14" s="26">
        <v>23.5</v>
      </c>
      <c r="H14" s="26"/>
      <c r="I14" s="26"/>
      <c r="J14" s="26">
        <f>100+12+18.401+460+25</f>
        <v>615.4010000000001</v>
      </c>
      <c r="K14" s="26">
        <f>100+18.401+460+25</f>
        <v>603.401</v>
      </c>
      <c r="L14" s="26">
        <f>118.401+300+43.189+25</f>
        <v>486.59000000000003</v>
      </c>
      <c r="M14" s="32">
        <f>C14+F14</f>
        <v>5724.1165599999995</v>
      </c>
    </row>
    <row r="15" spans="1:13" s="4" customFormat="1" ht="84" customHeight="1">
      <c r="A15" s="1" t="s">
        <v>30</v>
      </c>
      <c r="B15" s="13" t="s">
        <v>240</v>
      </c>
      <c r="C15" s="26">
        <f>40+2.653-5</f>
        <v>37.653</v>
      </c>
      <c r="D15" s="26"/>
      <c r="E15" s="26"/>
      <c r="F15" s="57">
        <f>G15+J15</f>
        <v>0</v>
      </c>
      <c r="G15" s="26"/>
      <c r="H15" s="26"/>
      <c r="I15" s="26"/>
      <c r="J15" s="26"/>
      <c r="K15" s="26"/>
      <c r="L15" s="26"/>
      <c r="M15" s="32">
        <f>C15+F15</f>
        <v>37.653</v>
      </c>
    </row>
    <row r="16" spans="1:14" s="4" customFormat="1" ht="54" customHeight="1">
      <c r="A16" s="1" t="s">
        <v>30</v>
      </c>
      <c r="B16" s="13" t="s">
        <v>150</v>
      </c>
      <c r="C16" s="26">
        <f>649.9+5.3+5.987+1.6+4.8+2+42.051</f>
        <v>711.6379999999999</v>
      </c>
      <c r="D16" s="26">
        <f>426.167+27.1</f>
        <v>453.267</v>
      </c>
      <c r="E16" s="26">
        <f>6.607+2.8</f>
        <v>9.407</v>
      </c>
      <c r="F16" s="57">
        <f>G16+J16</f>
        <v>13.19</v>
      </c>
      <c r="G16" s="26"/>
      <c r="H16" s="26"/>
      <c r="I16" s="26"/>
      <c r="J16" s="26">
        <v>13.19</v>
      </c>
      <c r="K16" s="26">
        <v>13.19</v>
      </c>
      <c r="L16" s="26">
        <v>13.19</v>
      </c>
      <c r="M16" s="32">
        <f>C16+F16</f>
        <v>724.828</v>
      </c>
      <c r="N16" s="4">
        <v>-0.235</v>
      </c>
    </row>
    <row r="17" spans="1:13" s="4" customFormat="1" ht="66.75" customHeight="1">
      <c r="A17" s="1" t="s">
        <v>30</v>
      </c>
      <c r="B17" s="13" t="s">
        <v>284</v>
      </c>
      <c r="C17" s="36">
        <f>1834.1+4.52908-17.5</f>
        <v>1821.12908</v>
      </c>
      <c r="D17" s="36">
        <f>1157.52-20</f>
        <v>1137.52</v>
      </c>
      <c r="E17" s="36">
        <f>81.9+0.5</f>
        <v>82.4</v>
      </c>
      <c r="F17" s="57">
        <f aca="true" t="shared" si="0" ref="F17:F23">G17+J17</f>
        <v>3</v>
      </c>
      <c r="G17" s="26"/>
      <c r="H17" s="26"/>
      <c r="I17" s="26"/>
      <c r="J17" s="26">
        <v>3</v>
      </c>
      <c r="K17" s="26">
        <v>3</v>
      </c>
      <c r="L17" s="26">
        <v>3</v>
      </c>
      <c r="M17" s="32">
        <f aca="true" t="shared" si="1" ref="M17:M22">C17+F17</f>
        <v>1824.12908</v>
      </c>
    </row>
    <row r="18" spans="1:13" s="4" customFormat="1" ht="67.5" customHeight="1">
      <c r="A18" s="1" t="s">
        <v>30</v>
      </c>
      <c r="B18" s="13" t="s">
        <v>151</v>
      </c>
      <c r="C18" s="26">
        <f>759.2+1.9878+2+28.7</f>
        <v>791.8878000000001</v>
      </c>
      <c r="D18" s="26">
        <f>475.914-6.611+27</f>
        <v>496.303</v>
      </c>
      <c r="E18" s="26">
        <v>18.557</v>
      </c>
      <c r="F18" s="57">
        <f t="shared" si="0"/>
        <v>4.99089</v>
      </c>
      <c r="G18" s="26"/>
      <c r="H18" s="26"/>
      <c r="I18" s="26"/>
      <c r="J18" s="26">
        <f>4.99089</f>
        <v>4.99089</v>
      </c>
      <c r="K18" s="26">
        <v>4.99089</v>
      </c>
      <c r="L18" s="26"/>
      <c r="M18" s="32">
        <f t="shared" si="1"/>
        <v>796.8786900000001</v>
      </c>
    </row>
    <row r="19" spans="1:14" s="61" customFormat="1" ht="26.25" customHeight="1" hidden="1">
      <c r="A19" s="58" t="s">
        <v>30</v>
      </c>
      <c r="B19" s="59" t="s">
        <v>106</v>
      </c>
      <c r="C19" s="26"/>
      <c r="D19" s="26"/>
      <c r="E19" s="26"/>
      <c r="F19" s="57">
        <f t="shared" si="0"/>
        <v>0</v>
      </c>
      <c r="G19" s="26"/>
      <c r="H19" s="26"/>
      <c r="I19" s="26"/>
      <c r="J19" s="26"/>
      <c r="K19" s="26"/>
      <c r="L19" s="26"/>
      <c r="M19" s="32">
        <f t="shared" si="1"/>
        <v>0</v>
      </c>
      <c r="N19" s="60"/>
    </row>
    <row r="20" spans="1:13" s="4" customFormat="1" ht="72" customHeight="1">
      <c r="A20" s="1" t="s">
        <v>30</v>
      </c>
      <c r="B20" s="13" t="s">
        <v>285</v>
      </c>
      <c r="C20" s="26">
        <f>1133.4+8.998+30.5</f>
        <v>1172.8980000000001</v>
      </c>
      <c r="D20" s="26">
        <f>689.725+13.118</f>
        <v>702.8430000000001</v>
      </c>
      <c r="E20" s="26">
        <v>29.4</v>
      </c>
      <c r="F20" s="57">
        <f t="shared" si="0"/>
        <v>31.434</v>
      </c>
      <c r="G20" s="26"/>
      <c r="H20" s="26"/>
      <c r="I20" s="26"/>
      <c r="J20" s="26">
        <f>13+18.434</f>
        <v>31.434</v>
      </c>
      <c r="K20" s="26">
        <f>13+18.434</f>
        <v>31.434</v>
      </c>
      <c r="L20" s="26">
        <v>13</v>
      </c>
      <c r="M20" s="32">
        <f t="shared" si="1"/>
        <v>1204.332</v>
      </c>
    </row>
    <row r="21" spans="1:13" s="4" customFormat="1" ht="74.25" customHeight="1">
      <c r="A21" s="1" t="s">
        <v>30</v>
      </c>
      <c r="B21" s="13" t="s">
        <v>286</v>
      </c>
      <c r="C21" s="26">
        <f>434.8+6.7034+1.2+6.836</f>
        <v>449.5394</v>
      </c>
      <c r="D21" s="26">
        <f>262.961+3.136</f>
        <v>266.09700000000004</v>
      </c>
      <c r="E21" s="26">
        <f>8.265+0.9</f>
        <v>9.165000000000001</v>
      </c>
      <c r="F21" s="57">
        <f>G21+J21</f>
        <v>2.3</v>
      </c>
      <c r="G21" s="26"/>
      <c r="H21" s="26"/>
      <c r="I21" s="26"/>
      <c r="J21" s="26">
        <v>2.3</v>
      </c>
      <c r="K21" s="26">
        <v>2.3</v>
      </c>
      <c r="L21" s="26">
        <v>2.3</v>
      </c>
      <c r="M21" s="32">
        <f>C21+F21</f>
        <v>451.8394</v>
      </c>
    </row>
    <row r="22" spans="1:13" s="4" customFormat="1" ht="95.25" customHeight="1">
      <c r="A22" s="1" t="s">
        <v>30</v>
      </c>
      <c r="B22" s="13" t="s">
        <v>152</v>
      </c>
      <c r="C22" s="26">
        <f>846.4-3.5-4.9+0.5-10.01</f>
        <v>828.49</v>
      </c>
      <c r="D22" s="26">
        <f>576.24-4.9-13.11</f>
        <v>558.23</v>
      </c>
      <c r="E22" s="26">
        <f>13.8+0.5</f>
        <v>14.3</v>
      </c>
      <c r="F22" s="57">
        <f t="shared" si="0"/>
        <v>13.7</v>
      </c>
      <c r="G22" s="26"/>
      <c r="H22" s="26"/>
      <c r="I22" s="26"/>
      <c r="J22" s="26">
        <f>12.5+1.2</f>
        <v>13.7</v>
      </c>
      <c r="K22" s="26">
        <f>12.5+1.2</f>
        <v>13.7</v>
      </c>
      <c r="L22" s="26">
        <f>12.5+1.2</f>
        <v>13.7</v>
      </c>
      <c r="M22" s="32">
        <f t="shared" si="1"/>
        <v>842.19</v>
      </c>
    </row>
    <row r="23" spans="1:13" s="4" customFormat="1" ht="58.5" customHeight="1">
      <c r="A23" s="1" t="s">
        <v>30</v>
      </c>
      <c r="B23" s="13" t="s">
        <v>287</v>
      </c>
      <c r="C23" s="36">
        <f>388.6+1.25902-4.3</f>
        <v>385.55902000000003</v>
      </c>
      <c r="D23" s="36">
        <f>263.39-3.2</f>
        <v>260.19</v>
      </c>
      <c r="E23" s="26">
        <v>6.1</v>
      </c>
      <c r="F23" s="57">
        <f t="shared" si="0"/>
        <v>0</v>
      </c>
      <c r="G23" s="26"/>
      <c r="H23" s="26"/>
      <c r="I23" s="26"/>
      <c r="J23" s="26"/>
      <c r="K23" s="26"/>
      <c r="L23" s="26"/>
      <c r="M23" s="32">
        <f>C23+F23</f>
        <v>385.55902000000003</v>
      </c>
    </row>
    <row r="24" spans="1:41" s="80" customFormat="1" ht="18.75">
      <c r="A24" s="25"/>
      <c r="B24" s="77" t="s">
        <v>29</v>
      </c>
      <c r="C24" s="31">
        <f>SUM(C14:C23)</f>
        <v>11284.009859999998</v>
      </c>
      <c r="D24" s="31">
        <f>SUM(D14:D23)</f>
        <v>6837.452999999999</v>
      </c>
      <c r="E24" s="31">
        <f>SUM(E14:E23)</f>
        <v>247.92899999999997</v>
      </c>
      <c r="F24" s="28">
        <f>G24+J24</f>
        <v>707.5158900000001</v>
      </c>
      <c r="G24" s="31">
        <f aca="true" t="shared" si="2" ref="G24:L24">SUM(G14:G23)</f>
        <v>23.5</v>
      </c>
      <c r="H24" s="31">
        <f t="shared" si="2"/>
        <v>0</v>
      </c>
      <c r="I24" s="31">
        <f t="shared" si="2"/>
        <v>0</v>
      </c>
      <c r="J24" s="31">
        <f t="shared" si="2"/>
        <v>684.0158900000001</v>
      </c>
      <c r="K24" s="31">
        <f t="shared" si="2"/>
        <v>672.01589</v>
      </c>
      <c r="L24" s="31">
        <f t="shared" si="2"/>
        <v>531.78</v>
      </c>
      <c r="M24" s="31">
        <f>C24+F24</f>
        <v>11991.525749999999</v>
      </c>
      <c r="N24" s="78">
        <f>C24+166.734</f>
        <v>11450.743859999999</v>
      </c>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13" s="93" customFormat="1" ht="56.25" customHeight="1">
      <c r="A25" s="91" t="s">
        <v>153</v>
      </c>
      <c r="B25" s="94" t="s">
        <v>154</v>
      </c>
      <c r="C25" s="92"/>
      <c r="D25" s="92"/>
      <c r="E25" s="92"/>
      <c r="F25" s="83">
        <f>G25+J25</f>
        <v>0</v>
      </c>
      <c r="G25" s="92"/>
      <c r="H25" s="92"/>
      <c r="I25" s="92"/>
      <c r="J25" s="92"/>
      <c r="K25" s="92"/>
      <c r="L25" s="92"/>
      <c r="M25" s="84">
        <f aca="true" t="shared" si="3" ref="M25:M46">C25+F25</f>
        <v>0</v>
      </c>
    </row>
    <row r="26" spans="1:13" s="4" customFormat="1" ht="102" customHeight="1">
      <c r="A26" s="1" t="s">
        <v>155</v>
      </c>
      <c r="B26" s="7" t="s">
        <v>221</v>
      </c>
      <c r="C26" s="36">
        <f>40-3.69-28.5</f>
        <v>7.810000000000002</v>
      </c>
      <c r="D26" s="22"/>
      <c r="E26" s="22"/>
      <c r="F26" s="57">
        <f aca="true" t="shared" si="4" ref="F26:F47">G26+J26</f>
        <v>0</v>
      </c>
      <c r="G26" s="26"/>
      <c r="H26" s="26"/>
      <c r="I26" s="26"/>
      <c r="J26" s="26"/>
      <c r="K26" s="26"/>
      <c r="L26" s="26"/>
      <c r="M26" s="32">
        <f t="shared" si="3"/>
        <v>7.810000000000002</v>
      </c>
    </row>
    <row r="27" spans="1:41" s="135" customFormat="1" ht="48.75" customHeight="1">
      <c r="A27" s="25"/>
      <c r="B27" s="136" t="s">
        <v>29</v>
      </c>
      <c r="C27" s="31">
        <f>C26</f>
        <v>7.810000000000002</v>
      </c>
      <c r="D27" s="31">
        <f>D26</f>
        <v>0</v>
      </c>
      <c r="E27" s="31">
        <f>E26</f>
        <v>0</v>
      </c>
      <c r="F27" s="28">
        <f t="shared" si="4"/>
        <v>0</v>
      </c>
      <c r="G27" s="31">
        <f aca="true" t="shared" si="5" ref="G27:L27">G26</f>
        <v>0</v>
      </c>
      <c r="H27" s="31">
        <f t="shared" si="5"/>
        <v>0</v>
      </c>
      <c r="I27" s="31">
        <f t="shared" si="5"/>
        <v>0</v>
      </c>
      <c r="J27" s="31">
        <f t="shared" si="5"/>
        <v>0</v>
      </c>
      <c r="K27" s="31">
        <f t="shared" si="5"/>
        <v>0</v>
      </c>
      <c r="L27" s="31">
        <f t="shared" si="5"/>
        <v>0</v>
      </c>
      <c r="M27" s="31">
        <f t="shared" si="3"/>
        <v>7.810000000000002</v>
      </c>
      <c r="N27" s="133">
        <f>C27+2.4</f>
        <v>10.210000000000003</v>
      </c>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row>
    <row r="28" spans="1:13" s="95" customFormat="1" ht="45" customHeight="1">
      <c r="A28" s="124" t="s">
        <v>31</v>
      </c>
      <c r="B28" s="125" t="s">
        <v>111</v>
      </c>
      <c r="C28" s="126"/>
      <c r="D28" s="126"/>
      <c r="E28" s="126"/>
      <c r="F28" s="127"/>
      <c r="G28" s="126"/>
      <c r="H28" s="126"/>
      <c r="I28" s="126"/>
      <c r="J28" s="126"/>
      <c r="K28" s="126"/>
      <c r="L28" s="126"/>
      <c r="M28" s="132">
        <f t="shared" si="3"/>
        <v>0</v>
      </c>
    </row>
    <row r="29" spans="1:14" s="4" customFormat="1" ht="24.75" customHeight="1">
      <c r="A29" s="1" t="s">
        <v>31</v>
      </c>
      <c r="B29" s="19" t="s">
        <v>237</v>
      </c>
      <c r="C29" s="22">
        <f>SUM(C30:C38)</f>
        <v>61432.269329999996</v>
      </c>
      <c r="D29" s="22">
        <f>SUM(D30:D38)</f>
        <v>35328.898</v>
      </c>
      <c r="E29" s="22">
        <f>SUM(E30:E38)</f>
        <v>5364.499</v>
      </c>
      <c r="F29" s="57">
        <f>G29+J29</f>
        <v>5503.06415</v>
      </c>
      <c r="G29" s="22">
        <f aca="true" t="shared" si="6" ref="G29:L29">SUM(G30:G38)</f>
        <v>3548.912</v>
      </c>
      <c r="H29" s="22">
        <f t="shared" si="6"/>
        <v>404.042</v>
      </c>
      <c r="I29" s="22">
        <f t="shared" si="6"/>
        <v>46.656</v>
      </c>
      <c r="J29" s="22">
        <f>SUM(J30:J38)</f>
        <v>1954.15215</v>
      </c>
      <c r="K29" s="22">
        <f t="shared" si="6"/>
        <v>1831.6641499999998</v>
      </c>
      <c r="L29" s="22">
        <f t="shared" si="6"/>
        <v>1831.6641499999998</v>
      </c>
      <c r="M29" s="32">
        <f t="shared" si="3"/>
        <v>66935.33348</v>
      </c>
      <c r="N29" s="62">
        <f>C29+99.396</f>
        <v>61531.665329999996</v>
      </c>
    </row>
    <row r="30" spans="1:13" s="4" customFormat="1" ht="25.5" customHeight="1">
      <c r="A30" s="1" t="s">
        <v>114</v>
      </c>
      <c r="B30" s="13" t="s">
        <v>115</v>
      </c>
      <c r="C30" s="22">
        <f>22299.139+29.16117-62.12-55.30299-26.23+2.01013+1.335</f>
        <v>22187.992309999998</v>
      </c>
      <c r="D30" s="22">
        <f>12072.083-69.351</f>
        <v>12002.732</v>
      </c>
      <c r="E30" s="22">
        <f>1727.014-13</f>
        <v>1714.014</v>
      </c>
      <c r="F30" s="57">
        <f>G30+J30</f>
        <v>3220.36448</v>
      </c>
      <c r="G30" s="26">
        <v>2083.613</v>
      </c>
      <c r="H30" s="26">
        <v>54.412</v>
      </c>
      <c r="I30" s="26">
        <v>0.489</v>
      </c>
      <c r="J30" s="26">
        <f>1349.05+19.248-93.67051-55.87601-38.7-43.3</f>
        <v>1136.7514800000001</v>
      </c>
      <c r="K30" s="26">
        <f>1349.05-93.67051-55.87601-38.7-43.3</f>
        <v>1117.50348</v>
      </c>
      <c r="L30" s="26">
        <f>1349.05-93.67051-55.87601-38.7-43.3</f>
        <v>1117.50348</v>
      </c>
      <c r="M30" s="32">
        <f t="shared" si="3"/>
        <v>25408.356789999998</v>
      </c>
    </row>
    <row r="31" spans="1:13" s="4" customFormat="1" ht="59.25" customHeight="1">
      <c r="A31" s="1" t="s">
        <v>116</v>
      </c>
      <c r="B31" s="11" t="s">
        <v>320</v>
      </c>
      <c r="C31" s="22">
        <f>32031.173+135.36869+23.072+67.875-4.995-15.87+4.04687+169.463</f>
        <v>32410.13356</v>
      </c>
      <c r="D31" s="22">
        <v>18708.183</v>
      </c>
      <c r="E31" s="22">
        <v>3471.811</v>
      </c>
      <c r="F31" s="57">
        <f t="shared" si="4"/>
        <v>2244.59367</v>
      </c>
      <c r="G31" s="26">
        <f>1459.375+0.028</f>
        <v>1459.403</v>
      </c>
      <c r="H31" s="26">
        <v>349.63</v>
      </c>
      <c r="I31" s="26">
        <v>46.167</v>
      </c>
      <c r="J31" s="26">
        <f>204+101.39+318.28567+60+4.995+67.92+50-21.4</f>
        <v>785.19067</v>
      </c>
      <c r="K31" s="26">
        <f>204+318.28567+60+4.995+67.92+50-21.4</f>
        <v>683.80067</v>
      </c>
      <c r="L31" s="26">
        <f>204+318.28567+60+4.995+67.92+50-21.4</f>
        <v>683.80067</v>
      </c>
      <c r="M31" s="32">
        <f t="shared" si="3"/>
        <v>34654.72723</v>
      </c>
    </row>
    <row r="32" spans="1:14" s="100" customFormat="1" ht="37.5" customHeight="1" hidden="1">
      <c r="A32" s="96" t="s">
        <v>116</v>
      </c>
      <c r="B32" s="97" t="s">
        <v>314</v>
      </c>
      <c r="C32" s="98"/>
      <c r="D32" s="98"/>
      <c r="E32" s="98"/>
      <c r="F32" s="23"/>
      <c r="G32" s="98"/>
      <c r="H32" s="98"/>
      <c r="I32" s="98"/>
      <c r="J32" s="37"/>
      <c r="K32" s="37"/>
      <c r="L32" s="98"/>
      <c r="M32" s="27">
        <f t="shared" si="3"/>
        <v>0</v>
      </c>
      <c r="N32" s="99"/>
    </row>
    <row r="33" spans="1:14" s="38" customFormat="1" ht="63" customHeight="1" hidden="1">
      <c r="A33" s="34" t="s">
        <v>116</v>
      </c>
      <c r="B33" s="35" t="s">
        <v>218</v>
      </c>
      <c r="C33" s="36"/>
      <c r="D33" s="36"/>
      <c r="E33" s="36"/>
      <c r="F33" s="36">
        <f t="shared" si="4"/>
        <v>0</v>
      </c>
      <c r="G33" s="26"/>
      <c r="H33" s="26"/>
      <c r="I33" s="26"/>
      <c r="J33" s="26"/>
      <c r="K33" s="26"/>
      <c r="L33" s="36"/>
      <c r="M33" s="36">
        <f t="shared" si="3"/>
        <v>0</v>
      </c>
      <c r="N33" s="44"/>
    </row>
    <row r="34" spans="1:13" s="4" customFormat="1" ht="42.75" customHeight="1">
      <c r="A34" s="1" t="s">
        <v>90</v>
      </c>
      <c r="B34" s="11" t="s">
        <v>117</v>
      </c>
      <c r="C34" s="22">
        <f>3198.6+1.08+22.034+9.244-12.0055-10.637</f>
        <v>3208.3154999999997</v>
      </c>
      <c r="D34" s="22">
        <v>2262.945</v>
      </c>
      <c r="E34" s="22">
        <v>63.201</v>
      </c>
      <c r="F34" s="57">
        <f t="shared" si="4"/>
        <v>7.746</v>
      </c>
      <c r="G34" s="26">
        <v>5.896</v>
      </c>
      <c r="H34" s="26"/>
      <c r="I34" s="26"/>
      <c r="J34" s="26">
        <v>1.85</v>
      </c>
      <c r="K34" s="26"/>
      <c r="L34" s="26"/>
      <c r="M34" s="32">
        <f t="shared" si="3"/>
        <v>3216.0615</v>
      </c>
    </row>
    <row r="35" spans="1:13" s="4" customFormat="1" ht="45.75" customHeight="1">
      <c r="A35" s="1" t="s">
        <v>118</v>
      </c>
      <c r="B35" s="11" t="s">
        <v>119</v>
      </c>
      <c r="C35" s="22">
        <f>628.363+1.71-5+7</f>
        <v>632.0730000000001</v>
      </c>
      <c r="D35" s="22">
        <v>445.993</v>
      </c>
      <c r="E35" s="22">
        <f>6.129+2</f>
        <v>8.129</v>
      </c>
      <c r="F35" s="57">
        <f t="shared" si="4"/>
        <v>9.98</v>
      </c>
      <c r="G35" s="26"/>
      <c r="H35" s="26"/>
      <c r="I35" s="26"/>
      <c r="J35" s="26">
        <v>9.98</v>
      </c>
      <c r="K35" s="26">
        <v>9.98</v>
      </c>
      <c r="L35" s="26">
        <v>9.98</v>
      </c>
      <c r="M35" s="32">
        <f t="shared" si="3"/>
        <v>642.0530000000001</v>
      </c>
    </row>
    <row r="36" spans="1:13" s="4" customFormat="1" ht="51" customHeight="1">
      <c r="A36" s="1" t="s">
        <v>120</v>
      </c>
      <c r="B36" s="11" t="s">
        <v>295</v>
      </c>
      <c r="C36" s="22">
        <f>1099.337+1.23+4.82675+3.4+5.2+1.943+0.205</f>
        <v>1116.14175</v>
      </c>
      <c r="D36" s="22">
        <v>769.579</v>
      </c>
      <c r="E36" s="22">
        <f>12.986+5.2</f>
        <v>18.186</v>
      </c>
      <c r="F36" s="57">
        <f t="shared" si="4"/>
        <v>7.04</v>
      </c>
      <c r="G36" s="26"/>
      <c r="H36" s="26"/>
      <c r="I36" s="26"/>
      <c r="J36" s="26">
        <v>7.04</v>
      </c>
      <c r="K36" s="26">
        <v>7.04</v>
      </c>
      <c r="L36" s="26">
        <v>7.04</v>
      </c>
      <c r="M36" s="32">
        <f t="shared" si="3"/>
        <v>1123.18175</v>
      </c>
    </row>
    <row r="37" spans="1:13" s="4" customFormat="1" ht="46.5" customHeight="1">
      <c r="A37" s="1" t="s">
        <v>121</v>
      </c>
      <c r="B37" s="11" t="s">
        <v>238</v>
      </c>
      <c r="C37" s="22">
        <f>786.245+30.62546+4.49025+0.34+5.3+2.0055+2.084</f>
        <v>831.0902099999998</v>
      </c>
      <c r="D37" s="22">
        <v>466.331</v>
      </c>
      <c r="E37" s="22">
        <f>7.568+3</f>
        <v>10.568</v>
      </c>
      <c r="F37" s="57">
        <f t="shared" si="4"/>
        <v>13.34</v>
      </c>
      <c r="G37" s="26"/>
      <c r="H37" s="26"/>
      <c r="I37" s="26"/>
      <c r="J37" s="26">
        <v>13.34</v>
      </c>
      <c r="K37" s="26">
        <v>13.34</v>
      </c>
      <c r="L37" s="26">
        <v>13.34</v>
      </c>
      <c r="M37" s="32">
        <f t="shared" si="3"/>
        <v>844.4302099999999</v>
      </c>
    </row>
    <row r="38" spans="1:13" s="4" customFormat="1" ht="46.5" customHeight="1">
      <c r="A38" s="1" t="s">
        <v>122</v>
      </c>
      <c r="B38" s="11" t="s">
        <v>123</v>
      </c>
      <c r="C38" s="22">
        <f>1045.153+0.9+0.47</f>
        <v>1046.5230000000001</v>
      </c>
      <c r="D38" s="22">
        <v>673.135</v>
      </c>
      <c r="E38" s="22">
        <v>78.59</v>
      </c>
      <c r="F38" s="57">
        <f t="shared" si="4"/>
        <v>0</v>
      </c>
      <c r="G38" s="26"/>
      <c r="H38" s="26"/>
      <c r="I38" s="26"/>
      <c r="J38" s="26"/>
      <c r="K38" s="26"/>
      <c r="L38" s="26"/>
      <c r="M38" s="32">
        <f t="shared" si="3"/>
        <v>1046.5230000000001</v>
      </c>
    </row>
    <row r="39" spans="1:13" s="103" customFormat="1" ht="60.75" customHeight="1" hidden="1">
      <c r="A39" s="96" t="s">
        <v>103</v>
      </c>
      <c r="B39" s="101" t="s">
        <v>133</v>
      </c>
      <c r="C39" s="33"/>
      <c r="D39" s="33"/>
      <c r="E39" s="33"/>
      <c r="F39" s="23">
        <f t="shared" si="4"/>
        <v>0</v>
      </c>
      <c r="G39" s="102"/>
      <c r="H39" s="102"/>
      <c r="I39" s="102"/>
      <c r="J39" s="102"/>
      <c r="K39" s="102"/>
      <c r="L39" s="102"/>
      <c r="M39" s="27">
        <f t="shared" si="3"/>
        <v>0</v>
      </c>
    </row>
    <row r="40" spans="1:14" s="4" customFormat="1" ht="41.25" customHeight="1">
      <c r="A40" s="1" t="s">
        <v>101</v>
      </c>
      <c r="B40" s="11" t="s">
        <v>17</v>
      </c>
      <c r="C40" s="22">
        <f>100+30.5+102.611+54-12.7</f>
        <v>274.411</v>
      </c>
      <c r="D40" s="22"/>
      <c r="E40" s="22"/>
      <c r="F40" s="57">
        <f t="shared" si="4"/>
        <v>5.389</v>
      </c>
      <c r="G40" s="26"/>
      <c r="H40" s="26"/>
      <c r="I40" s="26"/>
      <c r="J40" s="26">
        <v>5.389</v>
      </c>
      <c r="K40" s="26">
        <v>5.389</v>
      </c>
      <c r="L40" s="26"/>
      <c r="M40" s="32">
        <f t="shared" si="3"/>
        <v>279.8</v>
      </c>
      <c r="N40" s="62"/>
    </row>
    <row r="41" spans="1:13" s="4" customFormat="1" ht="153.75" customHeight="1" hidden="1">
      <c r="A41" s="1" t="s">
        <v>101</v>
      </c>
      <c r="B41" s="11" t="s">
        <v>303</v>
      </c>
      <c r="C41" s="22"/>
      <c r="D41" s="22"/>
      <c r="E41" s="22"/>
      <c r="F41" s="57">
        <f t="shared" si="4"/>
        <v>0</v>
      </c>
      <c r="G41" s="26"/>
      <c r="H41" s="26"/>
      <c r="I41" s="26"/>
      <c r="J41" s="26"/>
      <c r="K41" s="26"/>
      <c r="L41" s="26"/>
      <c r="M41" s="32">
        <f t="shared" si="3"/>
        <v>0</v>
      </c>
    </row>
    <row r="42" spans="1:13" s="4" customFormat="1" ht="56.25" customHeight="1">
      <c r="A42" s="1" t="s">
        <v>130</v>
      </c>
      <c r="B42" s="11" t="s">
        <v>172</v>
      </c>
      <c r="C42" s="22">
        <v>7.24</v>
      </c>
      <c r="D42" s="22"/>
      <c r="E42" s="22"/>
      <c r="F42" s="57">
        <f t="shared" si="4"/>
        <v>0</v>
      </c>
      <c r="G42" s="26"/>
      <c r="H42" s="26"/>
      <c r="I42" s="26"/>
      <c r="J42" s="26"/>
      <c r="K42" s="26"/>
      <c r="L42" s="26"/>
      <c r="M42" s="32">
        <f t="shared" si="3"/>
        <v>7.24</v>
      </c>
    </row>
    <row r="43" spans="1:41" s="140" customFormat="1" ht="45" customHeight="1">
      <c r="A43" s="138"/>
      <c r="B43" s="141" t="s">
        <v>29</v>
      </c>
      <c r="C43" s="31">
        <f>SUM(C30:C42)</f>
        <v>61713.92032999999</v>
      </c>
      <c r="D43" s="31">
        <f>SUM(D30:D42)</f>
        <v>35328.898</v>
      </c>
      <c r="E43" s="31">
        <f>SUM(E30:E42)</f>
        <v>5364.499</v>
      </c>
      <c r="F43" s="28">
        <f t="shared" si="4"/>
        <v>5508.453149999999</v>
      </c>
      <c r="G43" s="31">
        <f aca="true" t="shared" si="7" ref="G43:L43">SUM(G30:G42)</f>
        <v>3548.912</v>
      </c>
      <c r="H43" s="31">
        <f t="shared" si="7"/>
        <v>404.042</v>
      </c>
      <c r="I43" s="31">
        <f t="shared" si="7"/>
        <v>46.656</v>
      </c>
      <c r="J43" s="31">
        <f>SUM(J30:J42)</f>
        <v>1959.5411499999998</v>
      </c>
      <c r="K43" s="31">
        <f>SUM(K30:K42)</f>
        <v>1837.0531499999997</v>
      </c>
      <c r="L43" s="31">
        <f t="shared" si="7"/>
        <v>1831.6641499999998</v>
      </c>
      <c r="M43" s="31">
        <f t="shared" si="3"/>
        <v>67222.37348</v>
      </c>
      <c r="N43" s="137">
        <f>C43+86.4363</f>
        <v>61800.356629999995</v>
      </c>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row>
    <row r="44" spans="1:14" s="61" customFormat="1" ht="12.75" customHeight="1" hidden="1">
      <c r="A44" s="1" t="s">
        <v>81</v>
      </c>
      <c r="B44" s="13" t="s">
        <v>82</v>
      </c>
      <c r="C44" s="42"/>
      <c r="D44" s="42"/>
      <c r="E44" s="42"/>
      <c r="F44" s="57">
        <f t="shared" si="4"/>
        <v>0</v>
      </c>
      <c r="G44" s="42"/>
      <c r="H44" s="42"/>
      <c r="I44" s="42"/>
      <c r="J44" s="42"/>
      <c r="K44" s="42"/>
      <c r="L44" s="42"/>
      <c r="M44" s="32">
        <f t="shared" si="3"/>
        <v>0</v>
      </c>
      <c r="N44" s="60"/>
    </row>
    <row r="45" spans="1:13" s="93" customFormat="1" ht="48" customHeight="1">
      <c r="A45" s="124" t="s">
        <v>32</v>
      </c>
      <c r="B45" s="117" t="s">
        <v>92</v>
      </c>
      <c r="C45" s="92"/>
      <c r="D45" s="92"/>
      <c r="E45" s="92"/>
      <c r="F45" s="83"/>
      <c r="G45" s="92"/>
      <c r="H45" s="92"/>
      <c r="I45" s="92"/>
      <c r="J45" s="92"/>
      <c r="K45" s="92"/>
      <c r="L45" s="92"/>
      <c r="M45" s="84">
        <f t="shared" si="3"/>
        <v>0</v>
      </c>
    </row>
    <row r="46" spans="1:22" s="4" customFormat="1" ht="45.75" customHeight="1" hidden="1">
      <c r="A46" s="1"/>
      <c r="B46" s="13" t="s">
        <v>171</v>
      </c>
      <c r="C46" s="22">
        <f>C47+C48+C49+C50+C51+C54+C55+C56+C58+C60+C61+C62+C63+C64+C65+C66+C67+C68+C69+C110+C59+C87</f>
        <v>0</v>
      </c>
      <c r="D46" s="22">
        <f>D47+D48+D49+D50+D54+D55+D56+D58+D60+D61+D62+D63+D64+D65+D67+D68+D110+D59</f>
        <v>0</v>
      </c>
      <c r="E46" s="22">
        <f>E47+E48+E49+E50+E54+E55+E56+E58+E60+E61+E62+E63+E64+E65+E67+E68+E110+E59</f>
        <v>0</v>
      </c>
      <c r="F46" s="57">
        <f t="shared" si="4"/>
        <v>0</v>
      </c>
      <c r="G46" s="22">
        <f>G47+G48+G49+G50+G54+G55+G56+G58+G60+G61+G62+G63+G64+G65+G67+G68+G110+G59</f>
        <v>0</v>
      </c>
      <c r="H46" s="22">
        <f>H47+H48+H49+H50+H54+H55+H56+H58+H60+H61+H62+H63+H64+H65+H67+H68+H110+H59</f>
        <v>0</v>
      </c>
      <c r="I46" s="22">
        <f>I47+I48+I49+I50+I54+I55+I56+I58+I60+I61+I62+I63+I64+I65+I67+I68+I110+I59</f>
        <v>0</v>
      </c>
      <c r="J46" s="22">
        <f>J47+J48+J49+J50+J54+J55+J56+J58+J60+J61+J62+J63+J64+J65+J67+J68+J110+J59+J106</f>
        <v>0</v>
      </c>
      <c r="K46" s="22">
        <f>K47+K48+K49+K50+K54+K55+K56+K58+K60+K61+K62+K63+K64+K65+K67+K68+K110+K59+K106</f>
        <v>0</v>
      </c>
      <c r="L46" s="22">
        <f>L47+L48+L49+L50+L54+L55+L56+L58+L60+L61+L62+L63+L64+L65+L67+L68+L110+L59</f>
        <v>0</v>
      </c>
      <c r="M46" s="32">
        <f t="shared" si="3"/>
        <v>0</v>
      </c>
      <c r="N46" s="62">
        <f>C46-32874.4</f>
        <v>-32874.4</v>
      </c>
      <c r="U46" s="4">
        <v>410352</v>
      </c>
      <c r="V46" s="4" t="s">
        <v>213</v>
      </c>
    </row>
    <row r="47" spans="1:22" s="103" customFormat="1" ht="267" customHeight="1" hidden="1">
      <c r="A47" s="96" t="s">
        <v>72</v>
      </c>
      <c r="B47" s="97" t="s">
        <v>241</v>
      </c>
      <c r="C47" s="33"/>
      <c r="D47" s="33"/>
      <c r="E47" s="33"/>
      <c r="F47" s="23">
        <f t="shared" si="4"/>
        <v>0</v>
      </c>
      <c r="G47" s="33"/>
      <c r="H47" s="33"/>
      <c r="I47" s="33"/>
      <c r="J47" s="33"/>
      <c r="K47" s="33"/>
      <c r="L47" s="33"/>
      <c r="M47" s="27">
        <f>C47+F47</f>
        <v>0</v>
      </c>
      <c r="N47" s="104"/>
      <c r="O47" s="104"/>
      <c r="P47" s="104"/>
      <c r="Q47" s="104"/>
      <c r="R47" s="104"/>
      <c r="S47" s="104"/>
      <c r="T47" s="104"/>
      <c r="U47" s="104">
        <f>C57+C93+C91+C111+C112+C84</f>
        <v>0</v>
      </c>
      <c r="V47" s="104">
        <f>C70+C71+C72+C73</f>
        <v>131.525</v>
      </c>
    </row>
    <row r="48" spans="1:21" s="103" customFormat="1" ht="247.5" customHeight="1" hidden="1">
      <c r="A48" s="96" t="s">
        <v>73</v>
      </c>
      <c r="B48" s="97" t="s">
        <v>243</v>
      </c>
      <c r="C48" s="33"/>
      <c r="D48" s="33"/>
      <c r="E48" s="33"/>
      <c r="F48" s="23">
        <f>G48+J48</f>
        <v>0</v>
      </c>
      <c r="G48" s="33"/>
      <c r="H48" s="33"/>
      <c r="I48" s="33"/>
      <c r="J48" s="33"/>
      <c r="K48" s="33"/>
      <c r="L48" s="33"/>
      <c r="M48" s="27">
        <f>C48+F48</f>
        <v>0</v>
      </c>
      <c r="N48" s="104"/>
      <c r="U48" s="104">
        <f>U47-2459.9</f>
        <v>-2459.9</v>
      </c>
    </row>
    <row r="49" spans="1:14" s="103" customFormat="1" ht="259.5" customHeight="1" hidden="1">
      <c r="A49" s="96" t="s">
        <v>74</v>
      </c>
      <c r="B49" s="97" t="s">
        <v>296</v>
      </c>
      <c r="C49" s="33"/>
      <c r="D49" s="33"/>
      <c r="E49" s="33"/>
      <c r="F49" s="23">
        <f aca="true" t="shared" si="8" ref="F49:F112">G49+J49</f>
        <v>0</v>
      </c>
      <c r="G49" s="33"/>
      <c r="H49" s="33"/>
      <c r="I49" s="33"/>
      <c r="J49" s="33"/>
      <c r="K49" s="33"/>
      <c r="L49" s="33"/>
      <c r="M49" s="27">
        <f aca="true" t="shared" si="9" ref="M49:M112">C49+F49</f>
        <v>0</v>
      </c>
      <c r="N49" s="104"/>
    </row>
    <row r="50" spans="1:13" s="103" customFormat="1" ht="409.5" customHeight="1" hidden="1">
      <c r="A50" s="215" t="s">
        <v>75</v>
      </c>
      <c r="B50" s="105" t="s">
        <v>294</v>
      </c>
      <c r="C50" s="33"/>
      <c r="D50" s="33"/>
      <c r="E50" s="33"/>
      <c r="F50" s="23">
        <f t="shared" si="8"/>
        <v>0</v>
      </c>
      <c r="G50" s="33"/>
      <c r="H50" s="33"/>
      <c r="I50" s="33"/>
      <c r="J50" s="33"/>
      <c r="K50" s="33"/>
      <c r="L50" s="33"/>
      <c r="M50" s="27">
        <f t="shared" si="9"/>
        <v>0</v>
      </c>
    </row>
    <row r="51" spans="1:13" s="103" customFormat="1" ht="313.5" customHeight="1" hidden="1">
      <c r="A51" s="216"/>
      <c r="B51" s="106" t="s">
        <v>10</v>
      </c>
      <c r="C51" s="33"/>
      <c r="D51" s="33"/>
      <c r="E51" s="33"/>
      <c r="F51" s="23">
        <f t="shared" si="8"/>
        <v>0</v>
      </c>
      <c r="G51" s="33"/>
      <c r="H51" s="33"/>
      <c r="I51" s="33"/>
      <c r="J51" s="33"/>
      <c r="K51" s="33"/>
      <c r="L51" s="33"/>
      <c r="M51" s="27">
        <f t="shared" si="9"/>
        <v>0</v>
      </c>
    </row>
    <row r="52" spans="1:14" s="109" customFormat="1" ht="33" customHeight="1" hidden="1">
      <c r="A52" s="107" t="s">
        <v>96</v>
      </c>
      <c r="B52" s="106" t="s">
        <v>105</v>
      </c>
      <c r="C52" s="33"/>
      <c r="D52" s="33"/>
      <c r="E52" s="33"/>
      <c r="F52" s="23">
        <f t="shared" si="8"/>
        <v>0</v>
      </c>
      <c r="G52" s="33"/>
      <c r="H52" s="33"/>
      <c r="I52" s="33"/>
      <c r="J52" s="33"/>
      <c r="K52" s="33"/>
      <c r="L52" s="33"/>
      <c r="M52" s="27">
        <f t="shared" si="9"/>
        <v>0</v>
      </c>
      <c r="N52" s="108"/>
    </row>
    <row r="53" spans="1:14" s="109" customFormat="1" ht="48.75" customHeight="1" hidden="1">
      <c r="A53" s="107" t="s">
        <v>87</v>
      </c>
      <c r="B53" s="97" t="s">
        <v>104</v>
      </c>
      <c r="C53" s="33"/>
      <c r="D53" s="33"/>
      <c r="E53" s="33"/>
      <c r="F53" s="23">
        <f t="shared" si="8"/>
        <v>0</v>
      </c>
      <c r="G53" s="33"/>
      <c r="H53" s="33"/>
      <c r="I53" s="33"/>
      <c r="J53" s="33"/>
      <c r="K53" s="33"/>
      <c r="L53" s="33"/>
      <c r="M53" s="27">
        <f t="shared" si="9"/>
        <v>0</v>
      </c>
      <c r="N53" s="108"/>
    </row>
    <row r="54" spans="1:13" s="103" customFormat="1" ht="120.75" customHeight="1" hidden="1">
      <c r="A54" s="96" t="s">
        <v>85</v>
      </c>
      <c r="B54" s="97" t="s">
        <v>245</v>
      </c>
      <c r="C54" s="33"/>
      <c r="D54" s="33"/>
      <c r="E54" s="33"/>
      <c r="F54" s="23">
        <f t="shared" si="8"/>
        <v>0</v>
      </c>
      <c r="G54" s="33"/>
      <c r="H54" s="33"/>
      <c r="I54" s="33"/>
      <c r="J54" s="33"/>
      <c r="K54" s="33"/>
      <c r="L54" s="33"/>
      <c r="M54" s="27">
        <f t="shared" si="9"/>
        <v>0</v>
      </c>
    </row>
    <row r="55" spans="1:13" s="103" customFormat="1" ht="124.5" customHeight="1" hidden="1">
      <c r="A55" s="96" t="s">
        <v>97</v>
      </c>
      <c r="B55" s="97" t="s">
        <v>244</v>
      </c>
      <c r="C55" s="33"/>
      <c r="D55" s="33"/>
      <c r="E55" s="33"/>
      <c r="F55" s="23">
        <f t="shared" si="8"/>
        <v>0</v>
      </c>
      <c r="G55" s="33"/>
      <c r="H55" s="33"/>
      <c r="I55" s="33"/>
      <c r="J55" s="33"/>
      <c r="K55" s="33"/>
      <c r="L55" s="33"/>
      <c r="M55" s="27">
        <f t="shared" si="9"/>
        <v>0</v>
      </c>
    </row>
    <row r="56" spans="1:13" s="103" customFormat="1" ht="121.5" customHeight="1" hidden="1">
      <c r="A56" s="96" t="s">
        <v>67</v>
      </c>
      <c r="B56" s="97" t="s">
        <v>272</v>
      </c>
      <c r="C56" s="33"/>
      <c r="D56" s="33"/>
      <c r="E56" s="33"/>
      <c r="F56" s="23">
        <f t="shared" si="8"/>
        <v>0</v>
      </c>
      <c r="G56" s="33"/>
      <c r="H56" s="33"/>
      <c r="I56" s="33"/>
      <c r="J56" s="33"/>
      <c r="K56" s="33"/>
      <c r="L56" s="33"/>
      <c r="M56" s="27">
        <f t="shared" si="9"/>
        <v>0</v>
      </c>
    </row>
    <row r="57" spans="1:13" s="103" customFormat="1" ht="63.75" customHeight="1" hidden="1">
      <c r="A57" s="96" t="s">
        <v>102</v>
      </c>
      <c r="B57" s="97" t="s">
        <v>273</v>
      </c>
      <c r="C57" s="33"/>
      <c r="D57" s="33"/>
      <c r="E57" s="33"/>
      <c r="F57" s="23">
        <f t="shared" si="8"/>
        <v>0</v>
      </c>
      <c r="G57" s="33"/>
      <c r="H57" s="33"/>
      <c r="I57" s="33"/>
      <c r="J57" s="33"/>
      <c r="K57" s="33"/>
      <c r="L57" s="33"/>
      <c r="M57" s="27">
        <f t="shared" si="9"/>
        <v>0</v>
      </c>
    </row>
    <row r="58" spans="1:13" s="103" customFormat="1" ht="50.25" customHeight="1" hidden="1">
      <c r="A58" s="96" t="s">
        <v>107</v>
      </c>
      <c r="B58" s="97" t="s">
        <v>134</v>
      </c>
      <c r="C58" s="33"/>
      <c r="D58" s="33"/>
      <c r="E58" s="33"/>
      <c r="F58" s="23">
        <f t="shared" si="8"/>
        <v>0</v>
      </c>
      <c r="G58" s="33"/>
      <c r="H58" s="33"/>
      <c r="I58" s="33"/>
      <c r="J58" s="33"/>
      <c r="K58" s="33"/>
      <c r="L58" s="33"/>
      <c r="M58" s="27">
        <f t="shared" si="9"/>
        <v>0</v>
      </c>
    </row>
    <row r="59" spans="1:13" s="103" customFormat="1" ht="67.5" customHeight="1" hidden="1">
      <c r="A59" s="96" t="s">
        <v>274</v>
      </c>
      <c r="B59" s="97" t="s">
        <v>276</v>
      </c>
      <c r="C59" s="33"/>
      <c r="D59" s="33"/>
      <c r="E59" s="33"/>
      <c r="F59" s="23">
        <f t="shared" si="8"/>
        <v>0</v>
      </c>
      <c r="G59" s="33"/>
      <c r="H59" s="33"/>
      <c r="I59" s="33"/>
      <c r="J59" s="33"/>
      <c r="K59" s="33"/>
      <c r="L59" s="33"/>
      <c r="M59" s="27">
        <f t="shared" si="9"/>
        <v>0</v>
      </c>
    </row>
    <row r="60" spans="1:13" s="103" customFormat="1" ht="37.5" hidden="1">
      <c r="A60" s="96" t="s">
        <v>76</v>
      </c>
      <c r="B60" s="110" t="s">
        <v>140</v>
      </c>
      <c r="C60" s="33"/>
      <c r="D60" s="33"/>
      <c r="E60" s="33"/>
      <c r="F60" s="23">
        <f t="shared" si="8"/>
        <v>0</v>
      </c>
      <c r="G60" s="33"/>
      <c r="H60" s="33"/>
      <c r="I60" s="33"/>
      <c r="J60" s="33"/>
      <c r="K60" s="33"/>
      <c r="L60" s="33"/>
      <c r="M60" s="27">
        <f t="shared" si="9"/>
        <v>0</v>
      </c>
    </row>
    <row r="61" spans="1:13" s="103" customFormat="1" ht="37.5" customHeight="1" hidden="1">
      <c r="A61" s="96" t="s">
        <v>77</v>
      </c>
      <c r="B61" s="110" t="s">
        <v>141</v>
      </c>
      <c r="C61" s="33"/>
      <c r="D61" s="33"/>
      <c r="E61" s="33"/>
      <c r="F61" s="23">
        <f t="shared" si="8"/>
        <v>0</v>
      </c>
      <c r="G61" s="33"/>
      <c r="H61" s="33"/>
      <c r="I61" s="33"/>
      <c r="J61" s="33"/>
      <c r="K61" s="33"/>
      <c r="L61" s="33"/>
      <c r="M61" s="27">
        <f t="shared" si="9"/>
        <v>0</v>
      </c>
    </row>
    <row r="62" spans="1:13" s="103" customFormat="1" ht="40.5" customHeight="1" hidden="1">
      <c r="A62" s="96" t="s">
        <v>78</v>
      </c>
      <c r="B62" s="110" t="s">
        <v>297</v>
      </c>
      <c r="C62" s="33"/>
      <c r="D62" s="33"/>
      <c r="E62" s="33"/>
      <c r="F62" s="23">
        <f t="shared" si="8"/>
        <v>0</v>
      </c>
      <c r="G62" s="33"/>
      <c r="H62" s="33"/>
      <c r="I62" s="33"/>
      <c r="J62" s="33"/>
      <c r="K62" s="33"/>
      <c r="L62" s="33"/>
      <c r="M62" s="27">
        <f t="shared" si="9"/>
        <v>0</v>
      </c>
    </row>
    <row r="63" spans="1:13" s="103" customFormat="1" ht="53.25" customHeight="1" hidden="1">
      <c r="A63" s="96" t="s">
        <v>79</v>
      </c>
      <c r="B63" s="110" t="s">
        <v>149</v>
      </c>
      <c r="C63" s="33"/>
      <c r="D63" s="33"/>
      <c r="E63" s="33"/>
      <c r="F63" s="23">
        <f t="shared" si="8"/>
        <v>0</v>
      </c>
      <c r="G63" s="33"/>
      <c r="H63" s="33"/>
      <c r="I63" s="33"/>
      <c r="J63" s="33"/>
      <c r="K63" s="33"/>
      <c r="L63" s="33"/>
      <c r="M63" s="27">
        <f t="shared" si="9"/>
        <v>0</v>
      </c>
    </row>
    <row r="64" spans="1:13" s="103" customFormat="1" ht="39" customHeight="1" hidden="1">
      <c r="A64" s="96" t="s">
        <v>80</v>
      </c>
      <c r="B64" s="110" t="s">
        <v>148</v>
      </c>
      <c r="C64" s="33"/>
      <c r="D64" s="33"/>
      <c r="E64" s="33"/>
      <c r="F64" s="23">
        <f t="shared" si="8"/>
        <v>0</v>
      </c>
      <c r="G64" s="33"/>
      <c r="H64" s="33"/>
      <c r="I64" s="33"/>
      <c r="J64" s="33"/>
      <c r="K64" s="33"/>
      <c r="L64" s="33"/>
      <c r="M64" s="27">
        <f t="shared" si="9"/>
        <v>0</v>
      </c>
    </row>
    <row r="65" spans="1:13" s="103" customFormat="1" ht="46.5" customHeight="1" hidden="1">
      <c r="A65" s="96" t="s">
        <v>98</v>
      </c>
      <c r="B65" s="110" t="s">
        <v>142</v>
      </c>
      <c r="C65" s="33"/>
      <c r="D65" s="33"/>
      <c r="E65" s="33"/>
      <c r="F65" s="23">
        <f t="shared" si="8"/>
        <v>0</v>
      </c>
      <c r="G65" s="33"/>
      <c r="H65" s="33"/>
      <c r="I65" s="33"/>
      <c r="J65" s="33"/>
      <c r="K65" s="33"/>
      <c r="L65" s="33"/>
      <c r="M65" s="27">
        <f t="shared" si="9"/>
        <v>0</v>
      </c>
    </row>
    <row r="66" spans="1:13" s="103" customFormat="1" ht="47.25" customHeight="1" hidden="1">
      <c r="A66" s="96" t="s">
        <v>232</v>
      </c>
      <c r="B66" s="110" t="s">
        <v>233</v>
      </c>
      <c r="C66" s="33"/>
      <c r="D66" s="33"/>
      <c r="E66" s="33"/>
      <c r="F66" s="23">
        <f t="shared" si="8"/>
        <v>0</v>
      </c>
      <c r="G66" s="33"/>
      <c r="H66" s="33"/>
      <c r="I66" s="33"/>
      <c r="J66" s="33"/>
      <c r="K66" s="33"/>
      <c r="L66" s="33"/>
      <c r="M66" s="27">
        <f t="shared" si="9"/>
        <v>0</v>
      </c>
    </row>
    <row r="67" spans="1:13" s="103" customFormat="1" ht="49.5" customHeight="1" hidden="1">
      <c r="A67" s="96" t="s">
        <v>33</v>
      </c>
      <c r="B67" s="110" t="s">
        <v>143</v>
      </c>
      <c r="C67" s="33"/>
      <c r="D67" s="33"/>
      <c r="E67" s="33"/>
      <c r="F67" s="23">
        <f t="shared" si="8"/>
        <v>0</v>
      </c>
      <c r="G67" s="33"/>
      <c r="H67" s="33"/>
      <c r="I67" s="33"/>
      <c r="J67" s="33"/>
      <c r="K67" s="33"/>
      <c r="L67" s="33"/>
      <c r="M67" s="27">
        <f t="shared" si="9"/>
        <v>0</v>
      </c>
    </row>
    <row r="68" spans="1:13" s="103" customFormat="1" ht="69.75" customHeight="1" hidden="1">
      <c r="A68" s="96" t="s">
        <v>43</v>
      </c>
      <c r="B68" s="110" t="s">
        <v>18</v>
      </c>
      <c r="C68" s="33"/>
      <c r="D68" s="33"/>
      <c r="E68" s="33"/>
      <c r="F68" s="23">
        <f t="shared" si="8"/>
        <v>0</v>
      </c>
      <c r="G68" s="33"/>
      <c r="H68" s="33"/>
      <c r="I68" s="33"/>
      <c r="J68" s="33"/>
      <c r="K68" s="33"/>
      <c r="L68" s="33"/>
      <c r="M68" s="27">
        <f t="shared" si="9"/>
        <v>0</v>
      </c>
    </row>
    <row r="69" spans="1:13" s="103" customFormat="1" ht="82.5" customHeight="1" hidden="1">
      <c r="A69" s="96" t="s">
        <v>157</v>
      </c>
      <c r="B69" s="110" t="s">
        <v>210</v>
      </c>
      <c r="C69" s="33"/>
      <c r="D69" s="33"/>
      <c r="E69" s="33"/>
      <c r="F69" s="23">
        <f t="shared" si="8"/>
        <v>0</v>
      </c>
      <c r="G69" s="33"/>
      <c r="H69" s="33"/>
      <c r="I69" s="33"/>
      <c r="J69" s="33"/>
      <c r="K69" s="33"/>
      <c r="L69" s="33"/>
      <c r="M69" s="27">
        <f t="shared" si="9"/>
        <v>0</v>
      </c>
    </row>
    <row r="70" spans="1:13" s="4" customFormat="1" ht="90.75" customHeight="1">
      <c r="A70" s="1" t="s">
        <v>44</v>
      </c>
      <c r="B70" s="13" t="s">
        <v>211</v>
      </c>
      <c r="C70" s="22">
        <f>15-15</f>
        <v>0</v>
      </c>
      <c r="D70" s="22"/>
      <c r="E70" s="22"/>
      <c r="F70" s="57">
        <f t="shared" si="8"/>
        <v>0</v>
      </c>
      <c r="G70" s="22"/>
      <c r="H70" s="22"/>
      <c r="I70" s="22"/>
      <c r="J70" s="22"/>
      <c r="K70" s="22"/>
      <c r="L70" s="22"/>
      <c r="M70" s="32">
        <f t="shared" si="9"/>
        <v>0</v>
      </c>
    </row>
    <row r="71" spans="1:13" s="4" customFormat="1" ht="47.25" customHeight="1">
      <c r="A71" s="1" t="s">
        <v>44</v>
      </c>
      <c r="B71" s="13" t="s">
        <v>212</v>
      </c>
      <c r="C71" s="22">
        <v>90</v>
      </c>
      <c r="D71" s="22"/>
      <c r="E71" s="22"/>
      <c r="F71" s="57">
        <f t="shared" si="8"/>
        <v>0</v>
      </c>
      <c r="G71" s="22"/>
      <c r="H71" s="22"/>
      <c r="I71" s="22"/>
      <c r="J71" s="22"/>
      <c r="K71" s="22"/>
      <c r="L71" s="22"/>
      <c r="M71" s="32">
        <f t="shared" si="9"/>
        <v>90</v>
      </c>
    </row>
    <row r="72" spans="1:13" s="4" customFormat="1" ht="88.5" customHeight="1">
      <c r="A72" s="1" t="s">
        <v>44</v>
      </c>
      <c r="B72" s="13" t="s">
        <v>179</v>
      </c>
      <c r="C72" s="22">
        <f>20-14+1.525</f>
        <v>7.525</v>
      </c>
      <c r="D72" s="22"/>
      <c r="E72" s="22"/>
      <c r="F72" s="57">
        <f t="shared" si="8"/>
        <v>0</v>
      </c>
      <c r="G72" s="22"/>
      <c r="H72" s="22"/>
      <c r="I72" s="22"/>
      <c r="J72" s="22">
        <f>250-250</f>
        <v>0</v>
      </c>
      <c r="K72" s="22">
        <f>250-250</f>
        <v>0</v>
      </c>
      <c r="L72" s="22">
        <f>250-250</f>
        <v>0</v>
      </c>
      <c r="M72" s="32">
        <f t="shared" si="9"/>
        <v>7.525</v>
      </c>
    </row>
    <row r="73" spans="1:13" s="4" customFormat="1" ht="75.75" customHeight="1">
      <c r="A73" s="1" t="s">
        <v>44</v>
      </c>
      <c r="B73" s="13" t="s">
        <v>214</v>
      </c>
      <c r="C73" s="22">
        <f>10+14+10</f>
        <v>34</v>
      </c>
      <c r="D73" s="22"/>
      <c r="E73" s="22"/>
      <c r="F73" s="57">
        <f t="shared" si="8"/>
        <v>0</v>
      </c>
      <c r="G73" s="22"/>
      <c r="H73" s="22"/>
      <c r="I73" s="22"/>
      <c r="J73" s="22"/>
      <c r="K73" s="22"/>
      <c r="L73" s="22"/>
      <c r="M73" s="32">
        <f t="shared" si="9"/>
        <v>34</v>
      </c>
    </row>
    <row r="74" spans="1:13" s="4" customFormat="1" ht="75.75" customHeight="1" hidden="1">
      <c r="A74" s="1" t="s">
        <v>44</v>
      </c>
      <c r="B74" s="35" t="s">
        <v>340</v>
      </c>
      <c r="C74" s="22">
        <f>70-70</f>
        <v>0</v>
      </c>
      <c r="D74" s="22"/>
      <c r="E74" s="22"/>
      <c r="F74" s="57">
        <f t="shared" si="8"/>
        <v>0</v>
      </c>
      <c r="G74" s="22"/>
      <c r="H74" s="22"/>
      <c r="I74" s="22"/>
      <c r="J74" s="22"/>
      <c r="K74" s="22"/>
      <c r="L74" s="22"/>
      <c r="M74" s="32">
        <f t="shared" si="9"/>
        <v>0</v>
      </c>
    </row>
    <row r="75" spans="1:13" s="4" customFormat="1" ht="58.5" customHeight="1" hidden="1">
      <c r="A75" s="1" t="s">
        <v>44</v>
      </c>
      <c r="B75" s="35" t="s">
        <v>341</v>
      </c>
      <c r="C75" s="22">
        <f>45-45</f>
        <v>0</v>
      </c>
      <c r="D75" s="22"/>
      <c r="E75" s="22"/>
      <c r="F75" s="57">
        <f t="shared" si="8"/>
        <v>0</v>
      </c>
      <c r="G75" s="22"/>
      <c r="H75" s="22"/>
      <c r="I75" s="22"/>
      <c r="J75" s="22"/>
      <c r="K75" s="22"/>
      <c r="L75" s="22"/>
      <c r="M75" s="32">
        <f t="shared" si="9"/>
        <v>0</v>
      </c>
    </row>
    <row r="76" spans="1:13" s="4" customFormat="1" ht="75" customHeight="1" hidden="1">
      <c r="A76" s="1" t="s">
        <v>44</v>
      </c>
      <c r="B76" s="35" t="s">
        <v>342</v>
      </c>
      <c r="C76" s="22">
        <f>32-32</f>
        <v>0</v>
      </c>
      <c r="D76" s="22"/>
      <c r="E76" s="22"/>
      <c r="F76" s="57">
        <f t="shared" si="8"/>
        <v>0</v>
      </c>
      <c r="G76" s="22"/>
      <c r="H76" s="22"/>
      <c r="I76" s="22"/>
      <c r="J76" s="22"/>
      <c r="K76" s="22"/>
      <c r="L76" s="22"/>
      <c r="M76" s="32">
        <f t="shared" si="9"/>
        <v>0</v>
      </c>
    </row>
    <row r="77" spans="1:13" s="4" customFormat="1" ht="72.75" customHeight="1" hidden="1">
      <c r="A77" s="1" t="s">
        <v>44</v>
      </c>
      <c r="B77" s="19" t="s">
        <v>343</v>
      </c>
      <c r="C77" s="22">
        <f>34.6-34.6</f>
        <v>0</v>
      </c>
      <c r="D77" s="22"/>
      <c r="E77" s="22"/>
      <c r="F77" s="57">
        <f t="shared" si="8"/>
        <v>0</v>
      </c>
      <c r="G77" s="22"/>
      <c r="H77" s="22"/>
      <c r="I77" s="22"/>
      <c r="J77" s="22"/>
      <c r="K77" s="22"/>
      <c r="L77" s="22"/>
      <c r="M77" s="32">
        <f t="shared" si="9"/>
        <v>0</v>
      </c>
    </row>
    <row r="78" spans="1:13" s="4" customFormat="1" ht="69.75" customHeight="1" hidden="1">
      <c r="A78" s="1" t="s">
        <v>44</v>
      </c>
      <c r="B78" s="13" t="s">
        <v>344</v>
      </c>
      <c r="C78" s="22">
        <f>110-110</f>
        <v>0</v>
      </c>
      <c r="D78" s="22"/>
      <c r="E78" s="22"/>
      <c r="F78" s="57">
        <f t="shared" si="8"/>
        <v>0</v>
      </c>
      <c r="G78" s="22"/>
      <c r="H78" s="22"/>
      <c r="I78" s="22"/>
      <c r="J78" s="22"/>
      <c r="K78" s="22"/>
      <c r="L78" s="22"/>
      <c r="M78" s="32">
        <f t="shared" si="9"/>
        <v>0</v>
      </c>
    </row>
    <row r="79" spans="1:13" s="4" customFormat="1" ht="72.75" customHeight="1" hidden="1">
      <c r="A79" s="1" t="s">
        <v>44</v>
      </c>
      <c r="B79" s="13" t="s">
        <v>0</v>
      </c>
      <c r="C79" s="22">
        <f>30-30</f>
        <v>0</v>
      </c>
      <c r="D79" s="22"/>
      <c r="E79" s="22"/>
      <c r="F79" s="57">
        <f t="shared" si="8"/>
        <v>0</v>
      </c>
      <c r="G79" s="22"/>
      <c r="H79" s="22"/>
      <c r="I79" s="22"/>
      <c r="J79" s="22"/>
      <c r="K79" s="22"/>
      <c r="L79" s="22"/>
      <c r="M79" s="32">
        <f t="shared" si="9"/>
        <v>0</v>
      </c>
    </row>
    <row r="80" spans="1:13" s="4" customFormat="1" ht="63" customHeight="1">
      <c r="A80" s="1" t="s">
        <v>44</v>
      </c>
      <c r="B80" s="13" t="s">
        <v>332</v>
      </c>
      <c r="C80" s="22">
        <f>1099.46+3.67942-119-15-1.525+2.55-63.205</f>
        <v>906.9594199999999</v>
      </c>
      <c r="D80" s="22"/>
      <c r="E80" s="22"/>
      <c r="F80" s="57">
        <f t="shared" si="8"/>
        <v>0</v>
      </c>
      <c r="G80" s="22"/>
      <c r="H80" s="22"/>
      <c r="I80" s="22"/>
      <c r="J80" s="22"/>
      <c r="K80" s="22"/>
      <c r="L80" s="22"/>
      <c r="M80" s="32">
        <f t="shared" si="9"/>
        <v>906.9594199999999</v>
      </c>
    </row>
    <row r="81" spans="1:13" s="4" customFormat="1" ht="63" customHeight="1" hidden="1">
      <c r="A81" s="1" t="s">
        <v>44</v>
      </c>
      <c r="B81" s="13" t="s">
        <v>196</v>
      </c>
      <c r="C81" s="22"/>
      <c r="D81" s="22"/>
      <c r="E81" s="22"/>
      <c r="F81" s="57">
        <f t="shared" si="8"/>
        <v>0</v>
      </c>
      <c r="G81" s="22"/>
      <c r="H81" s="22"/>
      <c r="I81" s="22"/>
      <c r="J81" s="22"/>
      <c r="K81" s="22"/>
      <c r="L81" s="22"/>
      <c r="M81" s="32">
        <f t="shared" si="9"/>
        <v>0</v>
      </c>
    </row>
    <row r="82" spans="1:13" s="4" customFormat="1" ht="12.75" customHeight="1" hidden="1">
      <c r="A82" s="1" t="s">
        <v>44</v>
      </c>
      <c r="B82" s="11" t="s">
        <v>197</v>
      </c>
      <c r="C82" s="22"/>
      <c r="D82" s="22"/>
      <c r="E82" s="22"/>
      <c r="F82" s="57">
        <f t="shared" si="8"/>
        <v>0</v>
      </c>
      <c r="G82" s="22"/>
      <c r="H82" s="22"/>
      <c r="I82" s="22"/>
      <c r="J82" s="22"/>
      <c r="K82" s="22"/>
      <c r="L82" s="22"/>
      <c r="M82" s="32">
        <f t="shared" si="9"/>
        <v>0</v>
      </c>
    </row>
    <row r="83" spans="1:13" s="4" customFormat="1" ht="26.25" customHeight="1" hidden="1">
      <c r="A83" s="1" t="s">
        <v>44</v>
      </c>
      <c r="B83" s="11" t="s">
        <v>198</v>
      </c>
      <c r="C83" s="22"/>
      <c r="D83" s="22"/>
      <c r="E83" s="22"/>
      <c r="F83" s="57">
        <f t="shared" si="8"/>
        <v>0</v>
      </c>
      <c r="G83" s="22"/>
      <c r="H83" s="22"/>
      <c r="I83" s="22"/>
      <c r="J83" s="22"/>
      <c r="K83" s="22"/>
      <c r="L83" s="22"/>
      <c r="M83" s="32">
        <f t="shared" si="9"/>
        <v>0</v>
      </c>
    </row>
    <row r="84" spans="1:13" s="103" customFormat="1" ht="48.75" customHeight="1" hidden="1">
      <c r="A84" s="96" t="s">
        <v>44</v>
      </c>
      <c r="B84" s="176" t="s">
        <v>325</v>
      </c>
      <c r="C84" s="33"/>
      <c r="D84" s="33"/>
      <c r="E84" s="33"/>
      <c r="F84" s="23">
        <f t="shared" si="8"/>
        <v>0</v>
      </c>
      <c r="G84" s="33"/>
      <c r="H84" s="33"/>
      <c r="I84" s="33"/>
      <c r="J84" s="33"/>
      <c r="K84" s="33"/>
      <c r="L84" s="33"/>
      <c r="M84" s="27">
        <f t="shared" si="9"/>
        <v>0</v>
      </c>
    </row>
    <row r="85" spans="1:13" s="103" customFormat="1" ht="98.25" customHeight="1" hidden="1">
      <c r="A85" s="96" t="s">
        <v>44</v>
      </c>
      <c r="B85" s="176" t="s">
        <v>222</v>
      </c>
      <c r="C85" s="33"/>
      <c r="D85" s="33"/>
      <c r="E85" s="33"/>
      <c r="F85" s="23">
        <f t="shared" si="8"/>
        <v>0</v>
      </c>
      <c r="G85" s="33"/>
      <c r="H85" s="33"/>
      <c r="I85" s="33"/>
      <c r="J85" s="33"/>
      <c r="K85" s="33"/>
      <c r="L85" s="33"/>
      <c r="M85" s="27">
        <f t="shared" si="9"/>
        <v>0</v>
      </c>
    </row>
    <row r="86" spans="1:13" s="103" customFormat="1" ht="129.75" customHeight="1" hidden="1">
      <c r="A86" s="96" t="s">
        <v>137</v>
      </c>
      <c r="B86" s="97" t="s">
        <v>138</v>
      </c>
      <c r="C86" s="33"/>
      <c r="D86" s="33"/>
      <c r="E86" s="33"/>
      <c r="F86" s="23">
        <f t="shared" si="8"/>
        <v>0</v>
      </c>
      <c r="G86" s="33"/>
      <c r="H86" s="33"/>
      <c r="I86" s="33"/>
      <c r="J86" s="33"/>
      <c r="K86" s="33"/>
      <c r="L86" s="33"/>
      <c r="M86" s="27">
        <f t="shared" si="9"/>
        <v>0</v>
      </c>
    </row>
    <row r="87" spans="1:13" s="4" customFormat="1" ht="82.5" customHeight="1" hidden="1">
      <c r="A87" s="1" t="s">
        <v>137</v>
      </c>
      <c r="B87" s="11" t="s">
        <v>304</v>
      </c>
      <c r="C87" s="22"/>
      <c r="D87" s="22"/>
      <c r="E87" s="22"/>
      <c r="F87" s="57">
        <f t="shared" si="8"/>
        <v>0</v>
      </c>
      <c r="G87" s="22"/>
      <c r="H87" s="22"/>
      <c r="I87" s="22"/>
      <c r="J87" s="22"/>
      <c r="K87" s="22"/>
      <c r="L87" s="22"/>
      <c r="M87" s="32">
        <f t="shared" si="9"/>
        <v>0</v>
      </c>
    </row>
    <row r="88" spans="1:13" s="4" customFormat="1" ht="62.25" customHeight="1">
      <c r="A88" s="1" t="s">
        <v>45</v>
      </c>
      <c r="B88" s="13" t="s">
        <v>331</v>
      </c>
      <c r="C88" s="36">
        <f>86.65-11.82-5.5</f>
        <v>69.33000000000001</v>
      </c>
      <c r="D88" s="22"/>
      <c r="E88" s="22"/>
      <c r="F88" s="57">
        <f t="shared" si="8"/>
        <v>0</v>
      </c>
      <c r="G88" s="22"/>
      <c r="H88" s="22"/>
      <c r="I88" s="22"/>
      <c r="J88" s="22"/>
      <c r="K88" s="22"/>
      <c r="L88" s="22"/>
      <c r="M88" s="32">
        <f t="shared" si="9"/>
        <v>69.33000000000001</v>
      </c>
    </row>
    <row r="89" spans="1:13" s="103" customFormat="1" ht="61.5" customHeight="1" hidden="1">
      <c r="A89" s="96" t="s">
        <v>45</v>
      </c>
      <c r="B89" s="110" t="s">
        <v>324</v>
      </c>
      <c r="C89" s="33"/>
      <c r="D89" s="33"/>
      <c r="E89" s="33"/>
      <c r="F89" s="23">
        <f t="shared" si="8"/>
        <v>0</v>
      </c>
      <c r="G89" s="33"/>
      <c r="H89" s="33"/>
      <c r="I89" s="33"/>
      <c r="J89" s="33"/>
      <c r="K89" s="33"/>
      <c r="L89" s="33"/>
      <c r="M89" s="32">
        <f t="shared" si="9"/>
        <v>0</v>
      </c>
    </row>
    <row r="90" spans="1:13" s="103" customFormat="1" ht="148.5" customHeight="1" hidden="1">
      <c r="A90" s="96" t="s">
        <v>45</v>
      </c>
      <c r="B90" s="110" t="s">
        <v>170</v>
      </c>
      <c r="C90" s="33"/>
      <c r="D90" s="33"/>
      <c r="E90" s="33"/>
      <c r="F90" s="23">
        <f t="shared" si="8"/>
        <v>0</v>
      </c>
      <c r="G90" s="33"/>
      <c r="H90" s="33"/>
      <c r="I90" s="33"/>
      <c r="J90" s="33"/>
      <c r="K90" s="33"/>
      <c r="L90" s="33"/>
      <c r="M90" s="32">
        <f t="shared" si="9"/>
        <v>0</v>
      </c>
    </row>
    <row r="91" spans="1:13" s="103" customFormat="1" ht="77.25" customHeight="1" hidden="1">
      <c r="A91" s="96" t="s">
        <v>93</v>
      </c>
      <c r="B91" s="110" t="s">
        <v>323</v>
      </c>
      <c r="C91" s="33"/>
      <c r="D91" s="33"/>
      <c r="E91" s="33"/>
      <c r="F91" s="23">
        <f t="shared" si="8"/>
        <v>0</v>
      </c>
      <c r="G91" s="33"/>
      <c r="H91" s="33"/>
      <c r="I91" s="33"/>
      <c r="J91" s="33"/>
      <c r="K91" s="33"/>
      <c r="L91" s="33"/>
      <c r="M91" s="32">
        <f t="shared" si="9"/>
        <v>0</v>
      </c>
    </row>
    <row r="92" spans="1:13" s="4" customFormat="1" ht="99.75" customHeight="1">
      <c r="A92" s="1" t="s">
        <v>298</v>
      </c>
      <c r="B92" s="13" t="s">
        <v>299</v>
      </c>
      <c r="C92" s="22">
        <f>135.012-135.012</f>
        <v>0</v>
      </c>
      <c r="D92" s="22"/>
      <c r="E92" s="22"/>
      <c r="F92" s="57">
        <f t="shared" si="8"/>
        <v>0</v>
      </c>
      <c r="G92" s="22"/>
      <c r="H92" s="22"/>
      <c r="I92" s="22"/>
      <c r="J92" s="22"/>
      <c r="K92" s="22"/>
      <c r="L92" s="22"/>
      <c r="M92" s="32">
        <f t="shared" si="9"/>
        <v>0</v>
      </c>
    </row>
    <row r="93" spans="1:13" s="4" customFormat="1" ht="120" customHeight="1" hidden="1">
      <c r="A93" s="1" t="s">
        <v>298</v>
      </c>
      <c r="B93" s="13" t="s">
        <v>306</v>
      </c>
      <c r="C93" s="22"/>
      <c r="D93" s="22"/>
      <c r="E93" s="22"/>
      <c r="F93" s="57">
        <f t="shared" si="8"/>
        <v>0</v>
      </c>
      <c r="G93" s="22"/>
      <c r="H93" s="22"/>
      <c r="I93" s="22"/>
      <c r="J93" s="22"/>
      <c r="K93" s="22"/>
      <c r="L93" s="22"/>
      <c r="M93" s="32">
        <f t="shared" si="9"/>
        <v>0</v>
      </c>
    </row>
    <row r="94" spans="1:13" s="5" customFormat="1" ht="47.25" customHeight="1">
      <c r="A94" s="1" t="s">
        <v>69</v>
      </c>
      <c r="B94" s="13" t="s">
        <v>19</v>
      </c>
      <c r="C94" s="22">
        <f>546.5+24.491+47.4</f>
        <v>618.391</v>
      </c>
      <c r="D94" s="22">
        <f>374.9+34.8</f>
        <v>409.7</v>
      </c>
      <c r="E94" s="22">
        <v>8.9</v>
      </c>
      <c r="F94" s="57">
        <f t="shared" si="8"/>
        <v>133.32148999999998</v>
      </c>
      <c r="G94" s="22"/>
      <c r="H94" s="22"/>
      <c r="I94" s="22"/>
      <c r="J94" s="22">
        <f>63.32149+70</f>
        <v>133.32148999999998</v>
      </c>
      <c r="K94" s="22">
        <f>63.32149+70</f>
        <v>133.32148999999998</v>
      </c>
      <c r="L94" s="22">
        <v>63.32149</v>
      </c>
      <c r="M94" s="32">
        <f t="shared" si="9"/>
        <v>751.7124899999999</v>
      </c>
    </row>
    <row r="95" spans="1:14" s="68" customFormat="1" ht="40.5" customHeight="1" hidden="1">
      <c r="A95" s="1" t="s">
        <v>69</v>
      </c>
      <c r="B95" s="13" t="s">
        <v>326</v>
      </c>
      <c r="C95" s="22"/>
      <c r="D95" s="22"/>
      <c r="E95" s="22"/>
      <c r="F95" s="57">
        <f t="shared" si="8"/>
        <v>0</v>
      </c>
      <c r="G95" s="22"/>
      <c r="H95" s="22"/>
      <c r="I95" s="22"/>
      <c r="J95" s="22"/>
      <c r="K95" s="22"/>
      <c r="L95" s="22"/>
      <c r="M95" s="32">
        <f t="shared" si="9"/>
        <v>0</v>
      </c>
      <c r="N95" s="67"/>
    </row>
    <row r="96" spans="1:14" s="68" customFormat="1" ht="29.25" customHeight="1" hidden="1">
      <c r="A96" s="58" t="s">
        <v>70</v>
      </c>
      <c r="B96" s="59" t="s">
        <v>279</v>
      </c>
      <c r="C96" s="22"/>
      <c r="D96" s="22"/>
      <c r="E96" s="22"/>
      <c r="F96" s="57">
        <f t="shared" si="8"/>
        <v>0</v>
      </c>
      <c r="G96" s="22"/>
      <c r="H96" s="22"/>
      <c r="I96" s="22"/>
      <c r="J96" s="22"/>
      <c r="K96" s="22"/>
      <c r="L96" s="22"/>
      <c r="M96" s="32">
        <f t="shared" si="9"/>
        <v>0</v>
      </c>
      <c r="N96" s="67"/>
    </row>
    <row r="97" spans="1:13" s="5" customFormat="1" ht="38.25" customHeight="1" hidden="1">
      <c r="A97" s="1" t="s">
        <v>307</v>
      </c>
      <c r="B97" s="13" t="s">
        <v>280</v>
      </c>
      <c r="C97" s="22"/>
      <c r="D97" s="22"/>
      <c r="E97" s="22"/>
      <c r="F97" s="57">
        <f t="shared" si="8"/>
        <v>0</v>
      </c>
      <c r="G97" s="22"/>
      <c r="H97" s="22"/>
      <c r="I97" s="22"/>
      <c r="J97" s="22"/>
      <c r="K97" s="22"/>
      <c r="L97" s="22"/>
      <c r="M97" s="32">
        <f t="shared" si="9"/>
        <v>0</v>
      </c>
    </row>
    <row r="98" spans="1:13" s="5" customFormat="1" ht="75.75" customHeight="1">
      <c r="A98" s="1" t="s">
        <v>307</v>
      </c>
      <c r="B98" s="13" t="s">
        <v>322</v>
      </c>
      <c r="C98" s="22">
        <f>26-1.3-4.7-1.7-11.6</f>
        <v>6.700000000000001</v>
      </c>
      <c r="D98" s="22"/>
      <c r="E98" s="22"/>
      <c r="F98" s="57">
        <f t="shared" si="8"/>
        <v>0</v>
      </c>
      <c r="G98" s="22"/>
      <c r="H98" s="22"/>
      <c r="I98" s="22"/>
      <c r="J98" s="22"/>
      <c r="K98" s="22"/>
      <c r="L98" s="22"/>
      <c r="M98" s="32">
        <f t="shared" si="9"/>
        <v>6.700000000000001</v>
      </c>
    </row>
    <row r="99" spans="1:13" s="5" customFormat="1" ht="75.75" customHeight="1">
      <c r="A99" s="1" t="s">
        <v>307</v>
      </c>
      <c r="B99" s="13" t="s">
        <v>338</v>
      </c>
      <c r="C99" s="22">
        <f>5+0.48</f>
        <v>5.48</v>
      </c>
      <c r="D99" s="22"/>
      <c r="E99" s="22"/>
      <c r="F99" s="57">
        <f t="shared" si="8"/>
        <v>0</v>
      </c>
      <c r="G99" s="22"/>
      <c r="H99" s="22"/>
      <c r="I99" s="22"/>
      <c r="J99" s="22"/>
      <c r="K99" s="22"/>
      <c r="L99" s="22"/>
      <c r="M99" s="32">
        <f t="shared" si="9"/>
        <v>5.48</v>
      </c>
    </row>
    <row r="100" spans="1:13" s="5" customFormat="1" ht="66.75" customHeight="1" hidden="1">
      <c r="A100" s="1" t="s">
        <v>44</v>
      </c>
      <c r="B100" s="13" t="s">
        <v>184</v>
      </c>
      <c r="C100" s="22"/>
      <c r="D100" s="22"/>
      <c r="E100" s="22"/>
      <c r="F100" s="57">
        <f t="shared" si="8"/>
        <v>0</v>
      </c>
      <c r="G100" s="22"/>
      <c r="H100" s="22"/>
      <c r="I100" s="22"/>
      <c r="J100" s="22"/>
      <c r="K100" s="22"/>
      <c r="L100" s="22"/>
      <c r="M100" s="32">
        <f t="shared" si="9"/>
        <v>0</v>
      </c>
    </row>
    <row r="101" spans="1:13" s="5" customFormat="1" ht="75.75" customHeight="1">
      <c r="A101" s="1" t="s">
        <v>307</v>
      </c>
      <c r="B101" s="13" t="s">
        <v>339</v>
      </c>
      <c r="C101" s="22">
        <v>35</v>
      </c>
      <c r="D101" s="22"/>
      <c r="E101" s="22"/>
      <c r="F101" s="57">
        <f t="shared" si="8"/>
        <v>0</v>
      </c>
      <c r="G101" s="22"/>
      <c r="H101" s="22"/>
      <c r="I101" s="22"/>
      <c r="J101" s="22"/>
      <c r="K101" s="22"/>
      <c r="L101" s="22"/>
      <c r="M101" s="32">
        <f t="shared" si="9"/>
        <v>35</v>
      </c>
    </row>
    <row r="102" spans="1:13" s="5" customFormat="1" ht="75.75" customHeight="1" hidden="1">
      <c r="A102" s="1" t="s">
        <v>44</v>
      </c>
      <c r="B102" s="13" t="s">
        <v>338</v>
      </c>
      <c r="C102" s="22"/>
      <c r="D102" s="22"/>
      <c r="E102" s="22"/>
      <c r="F102" s="57">
        <f t="shared" si="8"/>
        <v>0</v>
      </c>
      <c r="G102" s="22"/>
      <c r="H102" s="22"/>
      <c r="I102" s="22"/>
      <c r="J102" s="22"/>
      <c r="K102" s="22"/>
      <c r="L102" s="22"/>
      <c r="M102" s="32">
        <f t="shared" si="9"/>
        <v>0</v>
      </c>
    </row>
    <row r="103" spans="1:13" s="5" customFormat="1" ht="106.5" customHeight="1">
      <c r="A103" s="1" t="s">
        <v>307</v>
      </c>
      <c r="B103" s="17" t="s">
        <v>321</v>
      </c>
      <c r="C103" s="22">
        <f>2.434-2</f>
        <v>0.43400000000000016</v>
      </c>
      <c r="D103" s="22"/>
      <c r="E103" s="22"/>
      <c r="F103" s="57">
        <f t="shared" si="8"/>
        <v>0</v>
      </c>
      <c r="G103" s="22"/>
      <c r="H103" s="22"/>
      <c r="I103" s="22"/>
      <c r="J103" s="22"/>
      <c r="K103" s="22"/>
      <c r="L103" s="22"/>
      <c r="M103" s="32">
        <f t="shared" si="9"/>
        <v>0.43400000000000016</v>
      </c>
    </row>
    <row r="104" spans="1:13" s="5" customFormat="1" ht="79.5" customHeight="1">
      <c r="A104" s="1" t="s">
        <v>307</v>
      </c>
      <c r="B104" s="17" t="s">
        <v>187</v>
      </c>
      <c r="C104" s="22">
        <v>4</v>
      </c>
      <c r="D104" s="22"/>
      <c r="E104" s="22"/>
      <c r="F104" s="57">
        <f t="shared" si="8"/>
        <v>0</v>
      </c>
      <c r="G104" s="22"/>
      <c r="H104" s="22"/>
      <c r="I104" s="22"/>
      <c r="J104" s="22"/>
      <c r="K104" s="22"/>
      <c r="L104" s="22"/>
      <c r="M104" s="32">
        <f t="shared" si="9"/>
        <v>4</v>
      </c>
    </row>
    <row r="105" spans="1:13" s="5" customFormat="1" ht="101.25" customHeight="1">
      <c r="A105" s="1" t="s">
        <v>46</v>
      </c>
      <c r="B105" s="13" t="s">
        <v>281</v>
      </c>
      <c r="C105" s="22">
        <f>1622.4+3.11422-9.3974</f>
        <v>1616.11682</v>
      </c>
      <c r="D105" s="22">
        <v>978.43</v>
      </c>
      <c r="E105" s="22">
        <v>29.9</v>
      </c>
      <c r="F105" s="57">
        <f t="shared" si="8"/>
        <v>54.6974</v>
      </c>
      <c r="G105" s="22">
        <v>39.02</v>
      </c>
      <c r="H105" s="22"/>
      <c r="I105" s="22"/>
      <c r="J105" s="22">
        <f>6.28+9.3974</f>
        <v>15.677399999999999</v>
      </c>
      <c r="K105" s="22">
        <v>9.3974</v>
      </c>
      <c r="L105" s="22">
        <v>9.3974</v>
      </c>
      <c r="M105" s="32">
        <f t="shared" si="9"/>
        <v>1670.81422</v>
      </c>
    </row>
    <row r="106" spans="1:13" s="111" customFormat="1" ht="113.25" customHeight="1" hidden="1">
      <c r="A106" s="96" t="s">
        <v>46</v>
      </c>
      <c r="B106" s="110" t="s">
        <v>315</v>
      </c>
      <c r="C106" s="33"/>
      <c r="D106" s="33"/>
      <c r="E106" s="33"/>
      <c r="F106" s="23"/>
      <c r="G106" s="33"/>
      <c r="H106" s="33"/>
      <c r="I106" s="33"/>
      <c r="J106" s="33"/>
      <c r="K106" s="33"/>
      <c r="L106" s="33"/>
      <c r="M106" s="27">
        <f t="shared" si="9"/>
        <v>0</v>
      </c>
    </row>
    <row r="107" spans="1:13" s="4" customFormat="1" ht="140.25" customHeight="1">
      <c r="A107" s="1" t="s">
        <v>301</v>
      </c>
      <c r="B107" s="11" t="s">
        <v>327</v>
      </c>
      <c r="C107" s="22">
        <f>140-10</f>
        <v>130</v>
      </c>
      <c r="D107" s="22"/>
      <c r="E107" s="22"/>
      <c r="F107" s="57">
        <f t="shared" si="8"/>
        <v>0</v>
      </c>
      <c r="G107" s="22"/>
      <c r="H107" s="22"/>
      <c r="I107" s="22"/>
      <c r="J107" s="22"/>
      <c r="K107" s="22"/>
      <c r="L107" s="22"/>
      <c r="M107" s="32">
        <f t="shared" si="9"/>
        <v>130</v>
      </c>
    </row>
    <row r="108" spans="1:13" s="4" customFormat="1" ht="131.25" customHeight="1">
      <c r="A108" s="1" t="s">
        <v>47</v>
      </c>
      <c r="B108" s="11" t="s">
        <v>328</v>
      </c>
      <c r="C108" s="22">
        <f>34.14-2</f>
        <v>32.14</v>
      </c>
      <c r="D108" s="22"/>
      <c r="E108" s="22"/>
      <c r="F108" s="57">
        <f t="shared" si="8"/>
        <v>0</v>
      </c>
      <c r="G108" s="22"/>
      <c r="H108" s="22"/>
      <c r="I108" s="22"/>
      <c r="J108" s="22"/>
      <c r="K108" s="22"/>
      <c r="L108" s="22"/>
      <c r="M108" s="32">
        <f t="shared" si="9"/>
        <v>32.14</v>
      </c>
    </row>
    <row r="109" spans="1:13" s="4" customFormat="1" ht="93" customHeight="1">
      <c r="A109" s="1" t="s">
        <v>48</v>
      </c>
      <c r="B109" s="11" t="s">
        <v>329</v>
      </c>
      <c r="C109" s="22">
        <f>100.23+2</f>
        <v>102.23</v>
      </c>
      <c r="D109" s="22"/>
      <c r="E109" s="22"/>
      <c r="F109" s="57">
        <f t="shared" si="8"/>
        <v>0</v>
      </c>
      <c r="G109" s="22"/>
      <c r="H109" s="22"/>
      <c r="I109" s="22"/>
      <c r="J109" s="22"/>
      <c r="K109" s="22"/>
      <c r="L109" s="22"/>
      <c r="M109" s="32">
        <f t="shared" si="9"/>
        <v>102.23</v>
      </c>
    </row>
    <row r="110" spans="1:13" s="103" customFormat="1" ht="63.75" customHeight="1" hidden="1">
      <c r="A110" s="96" t="s">
        <v>49</v>
      </c>
      <c r="B110" s="110" t="s">
        <v>20</v>
      </c>
      <c r="C110" s="33"/>
      <c r="D110" s="33"/>
      <c r="E110" s="33"/>
      <c r="F110" s="23">
        <f t="shared" si="8"/>
        <v>0</v>
      </c>
      <c r="G110" s="33"/>
      <c r="H110" s="33"/>
      <c r="I110" s="33"/>
      <c r="J110" s="33"/>
      <c r="K110" s="33"/>
      <c r="L110" s="33"/>
      <c r="M110" s="27">
        <f t="shared" si="9"/>
        <v>0</v>
      </c>
    </row>
    <row r="111" spans="1:13" s="103" customFormat="1" ht="83.25" customHeight="1" hidden="1">
      <c r="A111" s="96" t="s">
        <v>108</v>
      </c>
      <c r="B111" s="110" t="s">
        <v>144</v>
      </c>
      <c r="C111" s="33"/>
      <c r="D111" s="33"/>
      <c r="E111" s="33"/>
      <c r="F111" s="23">
        <f t="shared" si="8"/>
        <v>0</v>
      </c>
      <c r="G111" s="33"/>
      <c r="H111" s="33"/>
      <c r="I111" s="33"/>
      <c r="J111" s="33"/>
      <c r="K111" s="33"/>
      <c r="L111" s="33"/>
      <c r="M111" s="27">
        <f t="shared" si="9"/>
        <v>0</v>
      </c>
    </row>
    <row r="112" spans="1:13" s="103" customFormat="1" ht="45" customHeight="1" hidden="1">
      <c r="A112" s="96" t="s">
        <v>109</v>
      </c>
      <c r="B112" s="110" t="s">
        <v>145</v>
      </c>
      <c r="C112" s="33"/>
      <c r="D112" s="33"/>
      <c r="E112" s="33"/>
      <c r="F112" s="23">
        <f t="shared" si="8"/>
        <v>0</v>
      </c>
      <c r="G112" s="33"/>
      <c r="H112" s="33"/>
      <c r="I112" s="33"/>
      <c r="J112" s="33"/>
      <c r="K112" s="33"/>
      <c r="L112" s="33"/>
      <c r="M112" s="27">
        <f t="shared" si="9"/>
        <v>0</v>
      </c>
    </row>
    <row r="113" spans="1:41" s="140" customFormat="1" ht="35.25" customHeight="1">
      <c r="A113" s="138"/>
      <c r="B113" s="141" t="s">
        <v>29</v>
      </c>
      <c r="C113" s="31">
        <f>SUM(C47:C112)</f>
        <v>3658.30624</v>
      </c>
      <c r="D113" s="31">
        <f>SUM(D47:D112)</f>
        <v>1388.1299999999999</v>
      </c>
      <c r="E113" s="31">
        <f>SUM(E47:E112)</f>
        <v>38.8</v>
      </c>
      <c r="F113" s="28">
        <f aca="true" t="shared" si="10" ref="F113:F171">G113+J113</f>
        <v>188.01889</v>
      </c>
      <c r="G113" s="31">
        <f aca="true" t="shared" si="11" ref="G113:L113">SUM(G47:G112)</f>
        <v>39.02</v>
      </c>
      <c r="H113" s="31">
        <f t="shared" si="11"/>
        <v>0</v>
      </c>
      <c r="I113" s="31">
        <f t="shared" si="11"/>
        <v>0</v>
      </c>
      <c r="J113" s="31">
        <f>SUM(J47:J112)</f>
        <v>148.99889</v>
      </c>
      <c r="K113" s="31">
        <f t="shared" si="11"/>
        <v>142.71889</v>
      </c>
      <c r="L113" s="31">
        <f t="shared" si="11"/>
        <v>72.71889</v>
      </c>
      <c r="M113" s="31">
        <f aca="true" t="shared" si="12" ref="M113:M171">C113+F113</f>
        <v>3846.3251299999997</v>
      </c>
      <c r="N113" s="142">
        <f>C113+122.36081</f>
        <v>3780.66705</v>
      </c>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row>
    <row r="114" spans="1:13" s="95" customFormat="1" ht="31.5" customHeight="1">
      <c r="A114" s="124" t="s">
        <v>50</v>
      </c>
      <c r="B114" s="125" t="s">
        <v>51</v>
      </c>
      <c r="C114" s="126"/>
      <c r="D114" s="126"/>
      <c r="E114" s="126"/>
      <c r="F114" s="127"/>
      <c r="G114" s="126"/>
      <c r="H114" s="126"/>
      <c r="I114" s="126"/>
      <c r="J114" s="126"/>
      <c r="K114" s="126"/>
      <c r="L114" s="126"/>
      <c r="M114" s="132"/>
    </row>
    <row r="115" spans="1:22" s="4" customFormat="1" ht="45.75" customHeight="1" hidden="1">
      <c r="A115" s="1"/>
      <c r="B115" s="13" t="s">
        <v>171</v>
      </c>
      <c r="C115" s="22">
        <v>0</v>
      </c>
      <c r="D115" s="22">
        <v>0</v>
      </c>
      <c r="E115" s="22">
        <v>0</v>
      </c>
      <c r="F115" s="57">
        <f>G115+J115</f>
        <v>0</v>
      </c>
      <c r="G115" s="22">
        <v>0</v>
      </c>
      <c r="H115" s="22">
        <v>0</v>
      </c>
      <c r="I115" s="22">
        <v>0</v>
      </c>
      <c r="J115" s="22">
        <v>0</v>
      </c>
      <c r="K115" s="22">
        <v>0</v>
      </c>
      <c r="L115" s="22">
        <v>0</v>
      </c>
      <c r="M115" s="32">
        <f t="shared" si="12"/>
        <v>0</v>
      </c>
      <c r="U115" s="4">
        <v>410352</v>
      </c>
      <c r="V115" s="4" t="s">
        <v>213</v>
      </c>
    </row>
    <row r="116" spans="1:14" s="61" customFormat="1" ht="45.75" customHeight="1">
      <c r="A116" s="34" t="s">
        <v>156</v>
      </c>
      <c r="B116" s="17" t="s">
        <v>1</v>
      </c>
      <c r="C116" s="22">
        <f>108+150+8.14</f>
        <v>266.14</v>
      </c>
      <c r="D116" s="29"/>
      <c r="E116" s="29"/>
      <c r="F116" s="57">
        <f t="shared" si="10"/>
        <v>0</v>
      </c>
      <c r="G116" s="22"/>
      <c r="H116" s="22"/>
      <c r="I116" s="22"/>
      <c r="J116" s="22"/>
      <c r="K116" s="22"/>
      <c r="L116" s="22"/>
      <c r="M116" s="32">
        <f t="shared" si="12"/>
        <v>266.14</v>
      </c>
      <c r="N116" s="60"/>
    </row>
    <row r="117" spans="1:13" s="4" customFormat="1" ht="48.75" customHeight="1">
      <c r="A117" s="34" t="s">
        <v>52</v>
      </c>
      <c r="B117" s="19" t="s">
        <v>2</v>
      </c>
      <c r="C117" s="22"/>
      <c r="D117" s="22"/>
      <c r="E117" s="22"/>
      <c r="F117" s="57">
        <f t="shared" si="10"/>
        <v>1918.995</v>
      </c>
      <c r="G117" s="22"/>
      <c r="H117" s="22"/>
      <c r="I117" s="22"/>
      <c r="J117" s="22">
        <f>370-270+155+7.5+5+300-100+800+19.895+250-5+100+3+283.6</f>
        <v>1918.995</v>
      </c>
      <c r="K117" s="22">
        <f>370-270+155+7.5+5+300-100+800+19.895+250-5+100+3+283.6</f>
        <v>1918.995</v>
      </c>
      <c r="L117" s="22">
        <f>218+62+2.3-17</f>
        <v>265.3</v>
      </c>
      <c r="M117" s="32">
        <f t="shared" si="12"/>
        <v>1918.995</v>
      </c>
    </row>
    <row r="118" spans="1:13" s="103" customFormat="1" ht="48.75" customHeight="1" hidden="1">
      <c r="A118" s="112" t="s">
        <v>52</v>
      </c>
      <c r="B118" s="113" t="s">
        <v>264</v>
      </c>
      <c r="C118" s="33"/>
      <c r="D118" s="33"/>
      <c r="E118" s="33"/>
      <c r="F118" s="23"/>
      <c r="G118" s="33"/>
      <c r="H118" s="33"/>
      <c r="I118" s="33"/>
      <c r="J118" s="33"/>
      <c r="K118" s="33"/>
      <c r="L118" s="33"/>
      <c r="M118" s="27">
        <f t="shared" si="12"/>
        <v>0</v>
      </c>
    </row>
    <row r="119" spans="1:13" s="4" customFormat="1" ht="48.75" customHeight="1">
      <c r="A119" s="34" t="s">
        <v>52</v>
      </c>
      <c r="B119" s="19" t="s">
        <v>2</v>
      </c>
      <c r="C119" s="22"/>
      <c r="D119" s="22"/>
      <c r="E119" s="22"/>
      <c r="F119" s="57">
        <f t="shared" si="10"/>
        <v>12.57387</v>
      </c>
      <c r="G119" s="22"/>
      <c r="H119" s="22"/>
      <c r="I119" s="22"/>
      <c r="J119" s="22">
        <v>12.57387</v>
      </c>
      <c r="K119" s="22">
        <v>12.57387</v>
      </c>
      <c r="L119" s="22">
        <v>12.57387</v>
      </c>
      <c r="M119" s="32">
        <f t="shared" si="12"/>
        <v>12.57387</v>
      </c>
    </row>
    <row r="120" spans="1:13" s="4" customFormat="1" ht="48.75" customHeight="1">
      <c r="A120" s="34" t="s">
        <v>52</v>
      </c>
      <c r="B120" s="19" t="s">
        <v>263</v>
      </c>
      <c r="C120" s="22"/>
      <c r="D120" s="22"/>
      <c r="E120" s="22"/>
      <c r="F120" s="57">
        <f t="shared" si="10"/>
        <v>47.78</v>
      </c>
      <c r="G120" s="22"/>
      <c r="H120" s="22"/>
      <c r="I120" s="22"/>
      <c r="J120" s="22">
        <v>47.78</v>
      </c>
      <c r="K120" s="22">
        <v>47.78</v>
      </c>
      <c r="L120" s="22">
        <v>47.78</v>
      </c>
      <c r="M120" s="32">
        <f t="shared" si="12"/>
        <v>47.78</v>
      </c>
    </row>
    <row r="121" spans="1:13" s="4" customFormat="1" ht="79.5" customHeight="1">
      <c r="A121" s="34" t="s">
        <v>86</v>
      </c>
      <c r="B121" s="19" t="s">
        <v>300</v>
      </c>
      <c r="C121" s="22">
        <f>1000+54-54-400</f>
        <v>600</v>
      </c>
      <c r="D121" s="22"/>
      <c r="E121" s="22"/>
      <c r="F121" s="57">
        <f t="shared" si="10"/>
        <v>0</v>
      </c>
      <c r="G121" s="22"/>
      <c r="H121" s="22"/>
      <c r="I121" s="22"/>
      <c r="J121" s="22"/>
      <c r="K121" s="22"/>
      <c r="L121" s="22"/>
      <c r="M121" s="32">
        <f t="shared" si="12"/>
        <v>600</v>
      </c>
    </row>
    <row r="122" spans="1:13" s="4" customFormat="1" ht="79.5" customHeight="1">
      <c r="A122" s="34" t="s">
        <v>333</v>
      </c>
      <c r="B122" s="19" t="s">
        <v>334</v>
      </c>
      <c r="C122" s="22"/>
      <c r="D122" s="22"/>
      <c r="E122" s="22"/>
      <c r="F122" s="57">
        <f>G122+J122</f>
        <v>230</v>
      </c>
      <c r="G122" s="22"/>
      <c r="H122" s="22"/>
      <c r="I122" s="22"/>
      <c r="J122" s="22">
        <f>463-100-133</f>
        <v>230</v>
      </c>
      <c r="K122" s="22">
        <f>463-100-133</f>
        <v>230</v>
      </c>
      <c r="L122" s="22"/>
      <c r="M122" s="32">
        <f>C122+F122</f>
        <v>230</v>
      </c>
    </row>
    <row r="123" spans="1:13" s="4" customFormat="1" ht="68.25" customHeight="1">
      <c r="A123" s="34" t="s">
        <v>289</v>
      </c>
      <c r="B123" s="19" t="s">
        <v>3</v>
      </c>
      <c r="C123" s="22">
        <f>200-200+156</f>
        <v>156</v>
      </c>
      <c r="D123" s="22"/>
      <c r="E123" s="22"/>
      <c r="F123" s="57">
        <f t="shared" si="10"/>
        <v>420.69883999999996</v>
      </c>
      <c r="G123" s="22"/>
      <c r="H123" s="22"/>
      <c r="I123" s="22"/>
      <c r="J123" s="22">
        <f>358-30+99.99884-7.3</f>
        <v>420.69883999999996</v>
      </c>
      <c r="K123" s="22">
        <f>358-30+99.99884-7.3</f>
        <v>420.69883999999996</v>
      </c>
      <c r="L123" s="22">
        <f>167-20-30+99.99884-15</f>
        <v>201.99884</v>
      </c>
      <c r="M123" s="32">
        <f t="shared" si="12"/>
        <v>576.69884</v>
      </c>
    </row>
    <row r="124" spans="1:13" s="103" customFormat="1" ht="48" customHeight="1" hidden="1">
      <c r="A124" s="112" t="s">
        <v>289</v>
      </c>
      <c r="B124" s="113" t="s">
        <v>265</v>
      </c>
      <c r="C124" s="33"/>
      <c r="D124" s="33"/>
      <c r="E124" s="33"/>
      <c r="F124" s="23"/>
      <c r="G124" s="33"/>
      <c r="H124" s="33"/>
      <c r="I124" s="33"/>
      <c r="J124" s="33"/>
      <c r="K124" s="33"/>
      <c r="L124" s="33"/>
      <c r="M124" s="27">
        <f t="shared" si="12"/>
        <v>0</v>
      </c>
    </row>
    <row r="125" spans="1:13" s="4" customFormat="1" ht="38.25" customHeight="1">
      <c r="A125" s="34" t="s">
        <v>100</v>
      </c>
      <c r="B125" s="35" t="s">
        <v>277</v>
      </c>
      <c r="C125" s="22">
        <v>98</v>
      </c>
      <c r="D125" s="22"/>
      <c r="E125" s="22"/>
      <c r="F125" s="57">
        <f t="shared" si="10"/>
        <v>869.86</v>
      </c>
      <c r="G125" s="22"/>
      <c r="H125" s="22"/>
      <c r="I125" s="22"/>
      <c r="J125" s="22">
        <f>800-55-8.14+133</f>
        <v>869.86</v>
      </c>
      <c r="K125" s="22">
        <f>800-55-8.14+133</f>
        <v>869.86</v>
      </c>
      <c r="L125" s="22">
        <f>200-8.14-134</f>
        <v>57.860000000000014</v>
      </c>
      <c r="M125" s="32">
        <f t="shared" si="12"/>
        <v>967.86</v>
      </c>
    </row>
    <row r="126" spans="1:13" s="4" customFormat="1" ht="71.25" customHeight="1">
      <c r="A126" s="34" t="s">
        <v>53</v>
      </c>
      <c r="B126" s="35" t="s">
        <v>185</v>
      </c>
      <c r="C126" s="22">
        <v>25</v>
      </c>
      <c r="D126" s="22">
        <v>18.5</v>
      </c>
      <c r="E126" s="22"/>
      <c r="F126" s="57">
        <f t="shared" si="10"/>
        <v>0</v>
      </c>
      <c r="G126" s="22"/>
      <c r="H126" s="22"/>
      <c r="I126" s="22"/>
      <c r="J126" s="22"/>
      <c r="K126" s="22"/>
      <c r="L126" s="22"/>
      <c r="M126" s="32">
        <f t="shared" si="12"/>
        <v>25</v>
      </c>
    </row>
    <row r="127" spans="1:13" s="4" customFormat="1" ht="88.5" customHeight="1">
      <c r="A127" s="34" t="s">
        <v>53</v>
      </c>
      <c r="B127" s="35" t="s">
        <v>15</v>
      </c>
      <c r="C127" s="22">
        <f>5950.6-65-6.5-50</f>
        <v>5829.1</v>
      </c>
      <c r="D127" s="22"/>
      <c r="E127" s="22"/>
      <c r="F127" s="57">
        <f t="shared" si="10"/>
        <v>269.85499999999996</v>
      </c>
      <c r="G127" s="22"/>
      <c r="H127" s="22"/>
      <c r="I127" s="22"/>
      <c r="J127" s="22">
        <f>179.4+115-19.895-10+50+30+7.65-82.3</f>
        <v>269.85499999999996</v>
      </c>
      <c r="K127" s="22">
        <f>179.4+115-19.895-10+50+30+7.65-82.3</f>
        <v>269.85499999999996</v>
      </c>
      <c r="L127" s="22">
        <f>179.4-2-10+30-19-50-80-2.3-35.406</f>
        <v>10.69400000000001</v>
      </c>
      <c r="M127" s="32">
        <f t="shared" si="12"/>
        <v>6098.955</v>
      </c>
    </row>
    <row r="128" spans="1:13" s="103" customFormat="1" ht="50.25" customHeight="1" hidden="1">
      <c r="A128" s="112" t="s">
        <v>53</v>
      </c>
      <c r="B128" s="114" t="s">
        <v>266</v>
      </c>
      <c r="C128" s="33"/>
      <c r="D128" s="33"/>
      <c r="E128" s="33"/>
      <c r="F128" s="23"/>
      <c r="G128" s="33"/>
      <c r="H128" s="33"/>
      <c r="I128" s="33"/>
      <c r="J128" s="33"/>
      <c r="K128" s="33"/>
      <c r="L128" s="33"/>
      <c r="M128" s="27">
        <f t="shared" si="12"/>
        <v>0</v>
      </c>
    </row>
    <row r="129" spans="1:13" s="4" customFormat="1" ht="168.75" customHeight="1">
      <c r="A129" s="34" t="s">
        <v>267</v>
      </c>
      <c r="B129" s="18" t="s">
        <v>268</v>
      </c>
      <c r="C129" s="22"/>
      <c r="D129" s="22"/>
      <c r="E129" s="22"/>
      <c r="F129" s="57">
        <f t="shared" si="10"/>
        <v>50.56254</v>
      </c>
      <c r="G129" s="22"/>
      <c r="H129" s="22"/>
      <c r="I129" s="22"/>
      <c r="J129" s="22">
        <v>50.56254</v>
      </c>
      <c r="K129" s="22">
        <v>50.56254</v>
      </c>
      <c r="L129" s="22"/>
      <c r="M129" s="32">
        <f t="shared" si="12"/>
        <v>50.56254</v>
      </c>
    </row>
    <row r="130" spans="1:41" s="135" customFormat="1" ht="35.25" customHeight="1">
      <c r="A130" s="25"/>
      <c r="B130" s="141" t="s">
        <v>29</v>
      </c>
      <c r="C130" s="31">
        <f>SUM(C116:C129)</f>
        <v>6974.24</v>
      </c>
      <c r="D130" s="31">
        <f>SUM(D116:D128)</f>
        <v>18.5</v>
      </c>
      <c r="E130" s="31">
        <f>SUM(E116:E128)</f>
        <v>0</v>
      </c>
      <c r="F130" s="28">
        <f>G130+J130</f>
        <v>3820.32525</v>
      </c>
      <c r="G130" s="31">
        <f>SUM(G117:G129)</f>
        <v>0</v>
      </c>
      <c r="H130" s="31">
        <f>SUM(H117:H128)</f>
        <v>0</v>
      </c>
      <c r="I130" s="31">
        <f>SUM(I117:I128)</f>
        <v>0</v>
      </c>
      <c r="J130" s="31">
        <f>SUM(J117:J129)</f>
        <v>3820.32525</v>
      </c>
      <c r="K130" s="31">
        <f>SUM(K117:K129)</f>
        <v>3820.32525</v>
      </c>
      <c r="L130" s="31">
        <f>SUM(L117:L129)</f>
        <v>596.2067099999999</v>
      </c>
      <c r="M130" s="31">
        <f>C130+F130</f>
        <v>10794.56525</v>
      </c>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row>
    <row r="131" spans="1:13" s="95" customFormat="1" ht="39.75" customHeight="1">
      <c r="A131" s="124" t="s">
        <v>54</v>
      </c>
      <c r="B131" s="125" t="s">
        <v>21</v>
      </c>
      <c r="C131" s="126"/>
      <c r="D131" s="126"/>
      <c r="E131" s="126"/>
      <c r="F131" s="127"/>
      <c r="G131" s="126"/>
      <c r="H131" s="126"/>
      <c r="I131" s="126"/>
      <c r="J131" s="126"/>
      <c r="K131" s="126"/>
      <c r="L131" s="126"/>
      <c r="M131" s="132"/>
    </row>
    <row r="132" spans="1:22" s="61" customFormat="1" ht="28.5" customHeight="1" hidden="1">
      <c r="A132" s="58"/>
      <c r="B132" s="69" t="s">
        <v>132</v>
      </c>
      <c r="C132" s="42"/>
      <c r="D132" s="42"/>
      <c r="E132" s="42"/>
      <c r="F132" s="57">
        <f t="shared" si="10"/>
        <v>0</v>
      </c>
      <c r="G132" s="22"/>
      <c r="H132" s="22"/>
      <c r="I132" s="22"/>
      <c r="J132" s="22"/>
      <c r="K132" s="22"/>
      <c r="L132" s="22"/>
      <c r="M132" s="32">
        <f t="shared" si="12"/>
        <v>0</v>
      </c>
      <c r="N132" s="63"/>
      <c r="O132" s="64"/>
      <c r="P132" s="64"/>
      <c r="Q132" s="64"/>
      <c r="R132" s="64"/>
      <c r="S132" s="64"/>
      <c r="T132" s="64"/>
      <c r="U132" s="64"/>
      <c r="V132" s="64"/>
    </row>
    <row r="133" spans="1:13" s="4" customFormat="1" ht="30" customHeight="1">
      <c r="A133" s="1" t="s">
        <v>54</v>
      </c>
      <c r="B133" s="19" t="s">
        <v>22</v>
      </c>
      <c r="C133" s="22">
        <f>C134+C135+C136+C137</f>
        <v>3217.0616400000004</v>
      </c>
      <c r="D133" s="22">
        <f>D134+D135+D136+D137</f>
        <v>2151.2850000000003</v>
      </c>
      <c r="E133" s="22">
        <f>E134+E135+E136+E137</f>
        <v>77.60000000000001</v>
      </c>
      <c r="F133" s="57">
        <f t="shared" si="10"/>
        <v>425.369</v>
      </c>
      <c r="G133" s="22">
        <f aca="true" t="shared" si="13" ref="G133:L133">G134+G135+G136+G137</f>
        <v>135.1</v>
      </c>
      <c r="H133" s="22">
        <f t="shared" si="13"/>
        <v>98</v>
      </c>
      <c r="I133" s="22">
        <f t="shared" si="13"/>
        <v>0</v>
      </c>
      <c r="J133" s="22">
        <f t="shared" si="13"/>
        <v>290.269</v>
      </c>
      <c r="K133" s="22">
        <f t="shared" si="13"/>
        <v>290.269</v>
      </c>
      <c r="L133" s="22">
        <f t="shared" si="13"/>
        <v>104.26899999999999</v>
      </c>
      <c r="M133" s="32">
        <f t="shared" si="12"/>
        <v>3642.4306400000005</v>
      </c>
    </row>
    <row r="134" spans="1:13" s="4" customFormat="1" ht="31.5" customHeight="1">
      <c r="A134" s="1" t="s">
        <v>124</v>
      </c>
      <c r="B134" s="13" t="s">
        <v>125</v>
      </c>
      <c r="C134" s="22">
        <f>427.992+4.14714+3.5-2.5</f>
        <v>433.13914</v>
      </c>
      <c r="D134" s="22">
        <f>277.387-1</f>
        <v>276.387</v>
      </c>
      <c r="E134" s="22">
        <f>11.52</f>
        <v>11.52</v>
      </c>
      <c r="F134" s="57">
        <f t="shared" si="10"/>
        <v>34.7</v>
      </c>
      <c r="G134" s="22"/>
      <c r="H134" s="22"/>
      <c r="I134" s="22"/>
      <c r="J134" s="22">
        <f>20+4.7+10</f>
        <v>34.7</v>
      </c>
      <c r="K134" s="22">
        <f>20+4.7+10</f>
        <v>34.7</v>
      </c>
      <c r="L134" s="22">
        <f>20+4.7+10</f>
        <v>34.7</v>
      </c>
      <c r="M134" s="32">
        <f t="shared" si="12"/>
        <v>467.83914</v>
      </c>
    </row>
    <row r="135" spans="1:13" s="4" customFormat="1" ht="30" customHeight="1">
      <c r="A135" s="1" t="s">
        <v>126</v>
      </c>
      <c r="B135" s="13" t="s">
        <v>127</v>
      </c>
      <c r="C135" s="22">
        <f>257.952+2.01724+20-3.9</f>
        <v>276.06924000000004</v>
      </c>
      <c r="D135" s="22">
        <f>148.097+1</f>
        <v>149.097</v>
      </c>
      <c r="E135" s="22">
        <f>41.14-6.4</f>
        <v>34.74</v>
      </c>
      <c r="F135" s="57">
        <f t="shared" si="10"/>
        <v>11.369</v>
      </c>
      <c r="G135" s="22"/>
      <c r="H135" s="22"/>
      <c r="I135" s="22"/>
      <c r="J135" s="22">
        <f>5+6.369</f>
        <v>11.369</v>
      </c>
      <c r="K135" s="22">
        <f>5+6.369</f>
        <v>11.369</v>
      </c>
      <c r="L135" s="22">
        <f>5+6.369</f>
        <v>11.369</v>
      </c>
      <c r="M135" s="32">
        <f t="shared" si="12"/>
        <v>287.43824000000006</v>
      </c>
    </row>
    <row r="136" spans="1:13" s="4" customFormat="1" ht="30.75" customHeight="1">
      <c r="A136" s="1" t="s">
        <v>128</v>
      </c>
      <c r="B136" s="13" t="s">
        <v>236</v>
      </c>
      <c r="C136" s="22">
        <f>2234.743+5.31068+33.8-34.1</f>
        <v>2239.7536800000003</v>
      </c>
      <c r="D136" s="22">
        <f>1582.941-25</f>
        <v>1557.941</v>
      </c>
      <c r="E136" s="36">
        <f>26.28+1.2</f>
        <v>27.48</v>
      </c>
      <c r="F136" s="57">
        <f t="shared" si="10"/>
        <v>374.29999999999995</v>
      </c>
      <c r="G136" s="22">
        <v>135.1</v>
      </c>
      <c r="H136" s="22">
        <v>98</v>
      </c>
      <c r="I136" s="22">
        <v>0</v>
      </c>
      <c r="J136" s="22">
        <f>253.2-14</f>
        <v>239.2</v>
      </c>
      <c r="K136" s="22">
        <f>253.2-14</f>
        <v>239.2</v>
      </c>
      <c r="L136" s="22">
        <f>253.2-14-186</f>
        <v>53.19999999999999</v>
      </c>
      <c r="M136" s="32">
        <f t="shared" si="12"/>
        <v>2614.05368</v>
      </c>
    </row>
    <row r="137" spans="1:13" s="4" customFormat="1" ht="47.25" customHeight="1">
      <c r="A137" s="1" t="s">
        <v>95</v>
      </c>
      <c r="B137" s="13" t="s">
        <v>129</v>
      </c>
      <c r="C137" s="22">
        <f>226.613+7.88658+33.6</f>
        <v>268.09958</v>
      </c>
      <c r="D137" s="22">
        <f>142.86+25</f>
        <v>167.86</v>
      </c>
      <c r="E137" s="22">
        <f>4.36-0.5</f>
        <v>3.8600000000000003</v>
      </c>
      <c r="F137" s="57">
        <f t="shared" si="10"/>
        <v>5</v>
      </c>
      <c r="G137" s="22"/>
      <c r="H137" s="22"/>
      <c r="I137" s="22"/>
      <c r="J137" s="22">
        <v>5</v>
      </c>
      <c r="K137" s="22">
        <v>5</v>
      </c>
      <c r="L137" s="22">
        <v>5</v>
      </c>
      <c r="M137" s="32">
        <f t="shared" si="12"/>
        <v>273.09958</v>
      </c>
    </row>
    <row r="138" spans="1:13" s="4" customFormat="1" ht="63" customHeight="1">
      <c r="A138" s="70" t="s">
        <v>95</v>
      </c>
      <c r="B138" s="14" t="s">
        <v>216</v>
      </c>
      <c r="C138" s="30">
        <f>300+4.876-10+38</f>
        <v>332.876</v>
      </c>
      <c r="D138" s="30"/>
      <c r="E138" s="30"/>
      <c r="F138" s="71">
        <f t="shared" si="10"/>
        <v>10</v>
      </c>
      <c r="G138" s="30"/>
      <c r="H138" s="30"/>
      <c r="I138" s="30"/>
      <c r="J138" s="30">
        <v>10</v>
      </c>
      <c r="K138" s="30">
        <v>10</v>
      </c>
      <c r="L138" s="30">
        <v>10</v>
      </c>
      <c r="M138" s="72">
        <f t="shared" si="12"/>
        <v>342.876</v>
      </c>
    </row>
    <row r="139" spans="1:41" s="150" customFormat="1" ht="36.75" customHeight="1">
      <c r="A139" s="25"/>
      <c r="B139" s="141" t="s">
        <v>29</v>
      </c>
      <c r="C139" s="31">
        <f>SUM(C134:C138)</f>
        <v>3549.93764</v>
      </c>
      <c r="D139" s="31">
        <f>SUM(D134:D138)</f>
        <v>2151.2850000000003</v>
      </c>
      <c r="E139" s="31">
        <f>SUM(E134:E138)</f>
        <v>77.60000000000001</v>
      </c>
      <c r="F139" s="28">
        <f t="shared" si="10"/>
        <v>435.369</v>
      </c>
      <c r="G139" s="31">
        <f aca="true" t="shared" si="14" ref="G139:L139">SUM(G134:G138)</f>
        <v>135.1</v>
      </c>
      <c r="H139" s="31">
        <f t="shared" si="14"/>
        <v>98</v>
      </c>
      <c r="I139" s="31">
        <f t="shared" si="14"/>
        <v>0</v>
      </c>
      <c r="J139" s="31">
        <f t="shared" si="14"/>
        <v>300.269</v>
      </c>
      <c r="K139" s="31">
        <f t="shared" si="14"/>
        <v>300.269</v>
      </c>
      <c r="L139" s="31">
        <f t="shared" si="14"/>
        <v>114.26899999999999</v>
      </c>
      <c r="M139" s="147">
        <f t="shared" si="12"/>
        <v>3985.3066400000002</v>
      </c>
      <c r="N139" s="148"/>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row>
    <row r="140" spans="1:13" s="95" customFormat="1" ht="38.25" customHeight="1">
      <c r="A140" s="124" t="s">
        <v>83</v>
      </c>
      <c r="B140" s="125" t="s">
        <v>84</v>
      </c>
      <c r="C140" s="126"/>
      <c r="D140" s="126"/>
      <c r="E140" s="126"/>
      <c r="F140" s="127">
        <f t="shared" si="10"/>
        <v>0</v>
      </c>
      <c r="G140" s="126"/>
      <c r="H140" s="126"/>
      <c r="I140" s="126"/>
      <c r="J140" s="126"/>
      <c r="K140" s="126"/>
      <c r="L140" s="126"/>
      <c r="M140" s="151">
        <f t="shared" si="12"/>
        <v>0</v>
      </c>
    </row>
    <row r="141" spans="1:13" s="4" customFormat="1" ht="102" customHeight="1">
      <c r="A141" s="1" t="s">
        <v>251</v>
      </c>
      <c r="B141" s="17" t="s">
        <v>250</v>
      </c>
      <c r="C141" s="22">
        <v>10</v>
      </c>
      <c r="D141" s="22"/>
      <c r="E141" s="22"/>
      <c r="F141" s="57">
        <f t="shared" si="10"/>
        <v>0</v>
      </c>
      <c r="G141" s="22"/>
      <c r="H141" s="22"/>
      <c r="I141" s="22"/>
      <c r="J141" s="22"/>
      <c r="K141" s="22"/>
      <c r="L141" s="22"/>
      <c r="M141" s="73">
        <f t="shared" si="12"/>
        <v>10</v>
      </c>
    </row>
    <row r="142" spans="1:13" s="4" customFormat="1" ht="78.75" customHeight="1">
      <c r="A142" s="1" t="s">
        <v>110</v>
      </c>
      <c r="B142" s="35" t="s">
        <v>4</v>
      </c>
      <c r="C142" s="22">
        <v>380</v>
      </c>
      <c r="D142" s="22"/>
      <c r="E142" s="22"/>
      <c r="F142" s="57">
        <f t="shared" si="10"/>
        <v>0</v>
      </c>
      <c r="G142" s="22"/>
      <c r="H142" s="22"/>
      <c r="I142" s="22"/>
      <c r="J142" s="22"/>
      <c r="K142" s="22"/>
      <c r="L142" s="22"/>
      <c r="M142" s="74">
        <f t="shared" si="12"/>
        <v>380</v>
      </c>
    </row>
    <row r="143" spans="1:41" s="80" customFormat="1" ht="39" customHeight="1">
      <c r="A143" s="25"/>
      <c r="B143" s="141" t="s">
        <v>29</v>
      </c>
      <c r="C143" s="31">
        <f>SUM(C141:C142)</f>
        <v>390</v>
      </c>
      <c r="D143" s="31">
        <f>SUM(D142:D142)</f>
        <v>0</v>
      </c>
      <c r="E143" s="31">
        <f>SUM(E142:E142)</f>
        <v>0</v>
      </c>
      <c r="F143" s="28">
        <f t="shared" si="10"/>
        <v>0</v>
      </c>
      <c r="G143" s="31">
        <f aca="true" t="shared" si="15" ref="G143:L143">SUM(G142:G142)</f>
        <v>0</v>
      </c>
      <c r="H143" s="31">
        <f t="shared" si="15"/>
        <v>0</v>
      </c>
      <c r="I143" s="31">
        <f t="shared" si="15"/>
        <v>0</v>
      </c>
      <c r="J143" s="31">
        <f t="shared" si="15"/>
        <v>0</v>
      </c>
      <c r="K143" s="31">
        <f t="shared" si="15"/>
        <v>0</v>
      </c>
      <c r="L143" s="31">
        <f t="shared" si="15"/>
        <v>0</v>
      </c>
      <c r="M143" s="144">
        <f t="shared" si="12"/>
        <v>390</v>
      </c>
      <c r="N143" s="145"/>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row>
    <row r="144" spans="1:13" s="95" customFormat="1" ht="33.75" customHeight="1">
      <c r="A144" s="124" t="s">
        <v>55</v>
      </c>
      <c r="B144" s="125" t="s">
        <v>23</v>
      </c>
      <c r="C144" s="126"/>
      <c r="D144" s="126"/>
      <c r="E144" s="126"/>
      <c r="F144" s="127"/>
      <c r="G144" s="126"/>
      <c r="H144" s="126"/>
      <c r="I144" s="126"/>
      <c r="J144" s="126"/>
      <c r="K144" s="126"/>
      <c r="L144" s="126"/>
      <c r="M144" s="146"/>
    </row>
    <row r="145" spans="1:13" s="4" customFormat="1" ht="82.5" customHeight="1">
      <c r="A145" s="1" t="s">
        <v>308</v>
      </c>
      <c r="B145" s="19" t="s">
        <v>215</v>
      </c>
      <c r="C145" s="22">
        <f>45-1.244</f>
        <v>43.756</v>
      </c>
      <c r="D145" s="22"/>
      <c r="E145" s="22"/>
      <c r="F145" s="57">
        <f t="shared" si="10"/>
        <v>0</v>
      </c>
      <c r="G145" s="22"/>
      <c r="H145" s="22"/>
      <c r="I145" s="22"/>
      <c r="J145" s="22"/>
      <c r="K145" s="22"/>
      <c r="L145" s="22"/>
      <c r="M145" s="74">
        <f t="shared" si="12"/>
        <v>43.756</v>
      </c>
    </row>
    <row r="146" spans="1:13" s="4" customFormat="1" ht="75.75" customHeight="1">
      <c r="A146" s="1" t="s">
        <v>288</v>
      </c>
      <c r="B146" s="19" t="s">
        <v>217</v>
      </c>
      <c r="C146" s="22">
        <f>70-2.56</f>
        <v>67.44</v>
      </c>
      <c r="D146" s="22"/>
      <c r="E146" s="22"/>
      <c r="F146" s="57">
        <f t="shared" si="10"/>
        <v>0</v>
      </c>
      <c r="G146" s="22"/>
      <c r="H146" s="22"/>
      <c r="I146" s="22"/>
      <c r="J146" s="22"/>
      <c r="K146" s="22"/>
      <c r="L146" s="22"/>
      <c r="M146" s="74">
        <f t="shared" si="12"/>
        <v>67.44</v>
      </c>
    </row>
    <row r="147" spans="1:13" s="4" customFormat="1" ht="46.5" customHeight="1">
      <c r="A147" s="1" t="s">
        <v>56</v>
      </c>
      <c r="B147" s="35" t="s">
        <v>309</v>
      </c>
      <c r="C147" s="22">
        <f>1196.6+8.79737+70+9.68</f>
        <v>1285.07737</v>
      </c>
      <c r="D147" s="22">
        <v>809.862</v>
      </c>
      <c r="E147" s="22">
        <f>17.1+1.2+5.5</f>
        <v>23.8</v>
      </c>
      <c r="F147" s="57">
        <f t="shared" si="10"/>
        <v>5.22</v>
      </c>
      <c r="G147" s="22"/>
      <c r="H147" s="22"/>
      <c r="I147" s="22"/>
      <c r="J147" s="22">
        <v>5.22</v>
      </c>
      <c r="K147" s="22">
        <v>5.22</v>
      </c>
      <c r="L147" s="22"/>
      <c r="M147" s="74">
        <f t="shared" si="12"/>
        <v>1290.29737</v>
      </c>
    </row>
    <row r="148" spans="1:13" s="4" customFormat="1" ht="73.5" customHeight="1">
      <c r="A148" s="1" t="s">
        <v>239</v>
      </c>
      <c r="B148" s="19" t="s">
        <v>219</v>
      </c>
      <c r="C148" s="196">
        <f>35+25.86+3.804</f>
        <v>64.664</v>
      </c>
      <c r="D148" s="22"/>
      <c r="E148" s="22"/>
      <c r="F148" s="57">
        <f t="shared" si="10"/>
        <v>0</v>
      </c>
      <c r="G148" s="22"/>
      <c r="H148" s="22"/>
      <c r="I148" s="22"/>
      <c r="J148" s="22"/>
      <c r="K148" s="22"/>
      <c r="L148" s="22"/>
      <c r="M148" s="74">
        <f t="shared" si="12"/>
        <v>64.664</v>
      </c>
    </row>
    <row r="149" spans="1:41" s="80" customFormat="1" ht="35.25" customHeight="1">
      <c r="A149" s="25"/>
      <c r="B149" s="141" t="s">
        <v>29</v>
      </c>
      <c r="C149" s="31">
        <f>SUM(C145:C148)</f>
        <v>1460.9373699999999</v>
      </c>
      <c r="D149" s="31">
        <f>SUM(D145:D148)</f>
        <v>809.862</v>
      </c>
      <c r="E149" s="31">
        <f>SUM(E145:E148)</f>
        <v>23.8</v>
      </c>
      <c r="F149" s="28">
        <f>G149+J149</f>
        <v>5.22</v>
      </c>
      <c r="G149" s="31">
        <f aca="true" t="shared" si="16" ref="G149:L149">SUM(G145:G148)</f>
        <v>0</v>
      </c>
      <c r="H149" s="31">
        <f t="shared" si="16"/>
        <v>0</v>
      </c>
      <c r="I149" s="31">
        <f t="shared" si="16"/>
        <v>0</v>
      </c>
      <c r="J149" s="31">
        <f t="shared" si="16"/>
        <v>5.22</v>
      </c>
      <c r="K149" s="31">
        <f t="shared" si="16"/>
        <v>5.22</v>
      </c>
      <c r="L149" s="31">
        <f t="shared" si="16"/>
        <v>0</v>
      </c>
      <c r="M149" s="144">
        <f t="shared" si="12"/>
        <v>1466.15737</v>
      </c>
      <c r="N149" s="145"/>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row>
    <row r="150" spans="1:13" s="95" customFormat="1" ht="42.75" customHeight="1">
      <c r="A150" s="124" t="s">
        <v>57</v>
      </c>
      <c r="B150" s="125" t="s">
        <v>71</v>
      </c>
      <c r="C150" s="126"/>
      <c r="D150" s="126"/>
      <c r="E150" s="126"/>
      <c r="F150" s="127"/>
      <c r="G150" s="126"/>
      <c r="H150" s="126"/>
      <c r="I150" s="126"/>
      <c r="J150" s="126"/>
      <c r="K150" s="126"/>
      <c r="L150" s="126"/>
      <c r="M150" s="146"/>
    </row>
    <row r="151" spans="1:13" s="4" customFormat="1" ht="29.25" customHeight="1">
      <c r="A151" s="1" t="s">
        <v>58</v>
      </c>
      <c r="B151" s="43" t="s">
        <v>178</v>
      </c>
      <c r="C151" s="22"/>
      <c r="D151" s="22"/>
      <c r="E151" s="22"/>
      <c r="F151" s="57">
        <f t="shared" si="10"/>
        <v>0</v>
      </c>
      <c r="G151" s="22"/>
      <c r="H151" s="22"/>
      <c r="I151" s="22"/>
      <c r="J151" s="22"/>
      <c r="K151" s="22"/>
      <c r="L151" s="22"/>
      <c r="M151" s="74">
        <f t="shared" si="12"/>
        <v>0</v>
      </c>
    </row>
    <row r="152" spans="1:13" s="4" customFormat="1" ht="83.25" customHeight="1">
      <c r="A152" s="1" t="s">
        <v>58</v>
      </c>
      <c r="B152" s="43" t="s">
        <v>16</v>
      </c>
      <c r="C152" s="22"/>
      <c r="D152" s="22"/>
      <c r="E152" s="22"/>
      <c r="F152" s="57">
        <f t="shared" si="10"/>
        <v>328.30586</v>
      </c>
      <c r="G152" s="22"/>
      <c r="H152" s="22"/>
      <c r="I152" s="22"/>
      <c r="J152" s="22">
        <f>273.53271+38.09153+9.71442+4.56127+2.40593</f>
        <v>328.30586</v>
      </c>
      <c r="K152" s="22">
        <f>273.53271+38.09153+9.71442+4.56127+2.40593</f>
        <v>328.30586</v>
      </c>
      <c r="L152" s="22"/>
      <c r="M152" s="74">
        <f t="shared" si="12"/>
        <v>328.30586</v>
      </c>
    </row>
    <row r="153" spans="1:13" s="4" customFormat="1" ht="45" customHeight="1" hidden="1">
      <c r="A153" s="1" t="s">
        <v>58</v>
      </c>
      <c r="B153" s="43" t="s">
        <v>224</v>
      </c>
      <c r="C153" s="22"/>
      <c r="D153" s="22"/>
      <c r="E153" s="22"/>
      <c r="F153" s="57">
        <f t="shared" si="10"/>
        <v>0</v>
      </c>
      <c r="G153" s="22"/>
      <c r="H153" s="22"/>
      <c r="I153" s="22"/>
      <c r="J153" s="22"/>
      <c r="K153" s="22"/>
      <c r="L153" s="22"/>
      <c r="M153" s="74">
        <f t="shared" si="12"/>
        <v>0</v>
      </c>
    </row>
    <row r="154" spans="1:13" s="4" customFormat="1" ht="32.25" customHeight="1">
      <c r="A154" s="1" t="s">
        <v>58</v>
      </c>
      <c r="B154" s="43" t="s">
        <v>178</v>
      </c>
      <c r="C154" s="22"/>
      <c r="D154" s="22"/>
      <c r="E154" s="22"/>
      <c r="F154" s="57">
        <f t="shared" si="10"/>
        <v>1297.424</v>
      </c>
      <c r="G154" s="22"/>
      <c r="H154" s="22"/>
      <c r="I154" s="22"/>
      <c r="J154" s="22">
        <f>1105.5+453.5+66.2-14.81+5.31-50-222.626-15-8-12-7.65+287.18-287.18-3</f>
        <v>1297.424</v>
      </c>
      <c r="K154" s="22">
        <f>1105.5+453.5+66.2-14.81+5.31-50-222.626-15-8-12-7.65+287.18-287.18-3</f>
        <v>1297.424</v>
      </c>
      <c r="L154" s="22">
        <f>400+20-220-2.626-8+186-189.374</f>
        <v>186.00000000000003</v>
      </c>
      <c r="M154" s="74">
        <f t="shared" si="12"/>
        <v>1297.424</v>
      </c>
    </row>
    <row r="155" spans="1:13" s="4" customFormat="1" ht="173.25" customHeight="1">
      <c r="A155" s="1" t="s">
        <v>58</v>
      </c>
      <c r="B155" s="43" t="s">
        <v>269</v>
      </c>
      <c r="C155" s="22"/>
      <c r="D155" s="22"/>
      <c r="E155" s="22"/>
      <c r="F155" s="57">
        <f t="shared" si="10"/>
        <v>320</v>
      </c>
      <c r="G155" s="22"/>
      <c r="H155" s="22"/>
      <c r="I155" s="22"/>
      <c r="J155" s="22">
        <f>330-10</f>
        <v>320</v>
      </c>
      <c r="K155" s="22">
        <f>330-10</f>
        <v>320</v>
      </c>
      <c r="L155" s="22"/>
      <c r="M155" s="74">
        <f t="shared" si="12"/>
        <v>320</v>
      </c>
    </row>
    <row r="156" spans="1:13" s="4" customFormat="1" ht="134.25" customHeight="1">
      <c r="A156" s="1" t="s">
        <v>58</v>
      </c>
      <c r="B156" s="43" t="s">
        <v>290</v>
      </c>
      <c r="C156" s="22"/>
      <c r="D156" s="22"/>
      <c r="E156" s="22"/>
      <c r="F156" s="57">
        <f t="shared" si="10"/>
        <v>51.214</v>
      </c>
      <c r="G156" s="22"/>
      <c r="H156" s="22"/>
      <c r="I156" s="22"/>
      <c r="J156" s="22">
        <f>68.214-17</f>
        <v>51.214</v>
      </c>
      <c r="K156" s="22">
        <f>68.214-17</f>
        <v>51.214</v>
      </c>
      <c r="L156" s="22"/>
      <c r="M156" s="74">
        <f t="shared" si="12"/>
        <v>51.214</v>
      </c>
    </row>
    <row r="157" spans="1:13" s="4" customFormat="1" ht="59.25" customHeight="1">
      <c r="A157" s="1" t="s">
        <v>5</v>
      </c>
      <c r="B157" s="43" t="s">
        <v>6</v>
      </c>
      <c r="C157" s="22"/>
      <c r="D157" s="22"/>
      <c r="E157" s="22"/>
      <c r="F157" s="57">
        <f t="shared" si="10"/>
        <v>0.6259999999999999</v>
      </c>
      <c r="G157" s="22"/>
      <c r="H157" s="22"/>
      <c r="I157" s="22"/>
      <c r="J157" s="22">
        <f>2.626-2</f>
        <v>0.6259999999999999</v>
      </c>
      <c r="K157" s="22">
        <f>2.626-2</f>
        <v>0.6259999999999999</v>
      </c>
      <c r="L157" s="22">
        <f>2.626-2</f>
        <v>0.6259999999999999</v>
      </c>
      <c r="M157" s="74">
        <f t="shared" si="12"/>
        <v>0.6259999999999999</v>
      </c>
    </row>
    <row r="158" spans="1:41" s="80" customFormat="1" ht="33.75" customHeight="1">
      <c r="A158" s="25"/>
      <c r="B158" s="141" t="s">
        <v>29</v>
      </c>
      <c r="C158" s="31">
        <f>SUM(C151:C157)</f>
        <v>0</v>
      </c>
      <c r="D158" s="31">
        <f>SUM(D151:D157)</f>
        <v>0</v>
      </c>
      <c r="E158" s="31">
        <f>SUM(E151:E157)</f>
        <v>0</v>
      </c>
      <c r="F158" s="28">
        <f t="shared" si="10"/>
        <v>1997.5698599999998</v>
      </c>
      <c r="G158" s="31">
        <f aca="true" t="shared" si="17" ref="G158:L158">SUM(G151:G157)</f>
        <v>0</v>
      </c>
      <c r="H158" s="31">
        <f t="shared" si="17"/>
        <v>0</v>
      </c>
      <c r="I158" s="31">
        <f t="shared" si="17"/>
        <v>0</v>
      </c>
      <c r="J158" s="31">
        <f>SUM(J151:J157)</f>
        <v>1997.5698599999998</v>
      </c>
      <c r="K158" s="31">
        <f>SUM(K151:K157)</f>
        <v>1997.5698599999998</v>
      </c>
      <c r="L158" s="31">
        <f t="shared" si="17"/>
        <v>186.62600000000003</v>
      </c>
      <c r="M158" s="144">
        <f t="shared" si="12"/>
        <v>1997.5698599999998</v>
      </c>
      <c r="N158" s="145"/>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row>
    <row r="159" spans="1:41" s="156" customFormat="1" ht="33" customHeight="1" hidden="1">
      <c r="A159" s="154">
        <v>160000</v>
      </c>
      <c r="B159" s="153" t="s">
        <v>200</v>
      </c>
      <c r="C159" s="132"/>
      <c r="D159" s="132"/>
      <c r="E159" s="132"/>
      <c r="F159" s="127">
        <f t="shared" si="10"/>
        <v>0</v>
      </c>
      <c r="G159" s="132"/>
      <c r="H159" s="132"/>
      <c r="I159" s="132"/>
      <c r="J159" s="132"/>
      <c r="K159" s="132"/>
      <c r="L159" s="132"/>
      <c r="M159" s="146">
        <f t="shared" si="12"/>
        <v>0</v>
      </c>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row>
    <row r="160" spans="1:41" s="160" customFormat="1" ht="46.5" customHeight="1" hidden="1">
      <c r="A160" s="157">
        <v>160101</v>
      </c>
      <c r="B160" s="17" t="s">
        <v>7</v>
      </c>
      <c r="C160" s="32">
        <f>100-10-35-55</f>
        <v>0</v>
      </c>
      <c r="D160" s="32"/>
      <c r="E160" s="32"/>
      <c r="F160" s="57">
        <f t="shared" si="10"/>
        <v>0</v>
      </c>
      <c r="G160" s="32"/>
      <c r="H160" s="32"/>
      <c r="I160" s="32"/>
      <c r="J160" s="32"/>
      <c r="K160" s="32"/>
      <c r="L160" s="32"/>
      <c r="M160" s="74">
        <f t="shared" si="12"/>
        <v>0</v>
      </c>
      <c r="N160" s="158"/>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row>
    <row r="161" spans="1:41" s="80" customFormat="1" ht="37.5" customHeight="1" hidden="1">
      <c r="A161" s="25"/>
      <c r="B161" s="152" t="s">
        <v>29</v>
      </c>
      <c r="C161" s="31">
        <f>C160</f>
        <v>0</v>
      </c>
      <c r="D161" s="31">
        <f>D160</f>
        <v>0</v>
      </c>
      <c r="E161" s="31">
        <f>E160</f>
        <v>0</v>
      </c>
      <c r="F161" s="28">
        <f t="shared" si="10"/>
        <v>0</v>
      </c>
      <c r="G161" s="31">
        <f aca="true" t="shared" si="18" ref="G161:L161">G160</f>
        <v>0</v>
      </c>
      <c r="H161" s="31">
        <f t="shared" si="18"/>
        <v>0</v>
      </c>
      <c r="I161" s="31">
        <f t="shared" si="18"/>
        <v>0</v>
      </c>
      <c r="J161" s="31">
        <f t="shared" si="18"/>
        <v>0</v>
      </c>
      <c r="K161" s="31">
        <f t="shared" si="18"/>
        <v>0</v>
      </c>
      <c r="L161" s="31">
        <f t="shared" si="18"/>
        <v>0</v>
      </c>
      <c r="M161" s="144">
        <f t="shared" si="12"/>
        <v>0</v>
      </c>
      <c r="N161" s="145"/>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row>
    <row r="162" spans="1:13" s="4" customFormat="1" ht="42.75" customHeight="1" hidden="1">
      <c r="A162" s="1"/>
      <c r="B162" s="19" t="s">
        <v>171</v>
      </c>
      <c r="C162" s="22">
        <f>C165+C166</f>
        <v>0</v>
      </c>
      <c r="D162" s="22"/>
      <c r="E162" s="22"/>
      <c r="F162" s="57">
        <f t="shared" si="10"/>
        <v>0</v>
      </c>
      <c r="G162" s="22">
        <f aca="true" t="shared" si="19" ref="G162:L162">G167</f>
        <v>0</v>
      </c>
      <c r="H162" s="22">
        <f t="shared" si="19"/>
        <v>0</v>
      </c>
      <c r="I162" s="22">
        <f t="shared" si="19"/>
        <v>0</v>
      </c>
      <c r="J162" s="22">
        <f t="shared" si="19"/>
        <v>0</v>
      </c>
      <c r="K162" s="22">
        <f t="shared" si="19"/>
        <v>0</v>
      </c>
      <c r="L162" s="22">
        <f t="shared" si="19"/>
        <v>0</v>
      </c>
      <c r="M162" s="74">
        <f t="shared" si="12"/>
        <v>0</v>
      </c>
    </row>
    <row r="163" spans="1:13" s="95" customFormat="1" ht="59.25" customHeight="1">
      <c r="A163" s="124" t="s">
        <v>59</v>
      </c>
      <c r="B163" s="125" t="s">
        <v>60</v>
      </c>
      <c r="C163" s="126"/>
      <c r="D163" s="126"/>
      <c r="E163" s="126"/>
      <c r="F163" s="127"/>
      <c r="G163" s="126"/>
      <c r="H163" s="126"/>
      <c r="I163" s="126"/>
      <c r="J163" s="126"/>
      <c r="K163" s="126"/>
      <c r="L163" s="126"/>
      <c r="M163" s="146"/>
    </row>
    <row r="164" spans="1:13" s="4" customFormat="1" ht="81.75" customHeight="1">
      <c r="A164" s="1" t="s">
        <v>61</v>
      </c>
      <c r="B164" s="19" t="s">
        <v>330</v>
      </c>
      <c r="C164" s="22">
        <f>349.52+72.475</f>
        <v>421.995</v>
      </c>
      <c r="D164" s="22"/>
      <c r="E164" s="22"/>
      <c r="F164" s="57">
        <f t="shared" si="10"/>
        <v>0</v>
      </c>
      <c r="G164" s="22"/>
      <c r="H164" s="22"/>
      <c r="I164" s="22"/>
      <c r="J164" s="22"/>
      <c r="K164" s="22"/>
      <c r="L164" s="22"/>
      <c r="M164" s="74">
        <f t="shared" si="12"/>
        <v>421.995</v>
      </c>
    </row>
    <row r="165" spans="1:13" s="103" customFormat="1" ht="79.5" customHeight="1" hidden="1">
      <c r="A165" s="96" t="s">
        <v>61</v>
      </c>
      <c r="B165" s="97" t="s">
        <v>146</v>
      </c>
      <c r="C165" s="33"/>
      <c r="D165" s="33"/>
      <c r="E165" s="33"/>
      <c r="F165" s="23"/>
      <c r="G165" s="33"/>
      <c r="H165" s="33"/>
      <c r="I165" s="33"/>
      <c r="J165" s="33"/>
      <c r="K165" s="33"/>
      <c r="L165" s="33"/>
      <c r="M165" s="27">
        <f t="shared" si="12"/>
        <v>0</v>
      </c>
    </row>
    <row r="166" spans="1:13" s="103" customFormat="1" ht="65.25" customHeight="1" hidden="1">
      <c r="A166" s="96" t="s">
        <v>91</v>
      </c>
      <c r="B166" s="97" t="s">
        <v>147</v>
      </c>
      <c r="C166" s="33"/>
      <c r="D166" s="33"/>
      <c r="E166" s="33"/>
      <c r="F166" s="23"/>
      <c r="G166" s="33"/>
      <c r="H166" s="33"/>
      <c r="I166" s="33"/>
      <c r="J166" s="33"/>
      <c r="K166" s="33"/>
      <c r="L166" s="33"/>
      <c r="M166" s="27">
        <f t="shared" si="12"/>
        <v>0</v>
      </c>
    </row>
    <row r="167" spans="1:13" s="103" customFormat="1" ht="132.75" customHeight="1" hidden="1">
      <c r="A167" s="96" t="s">
        <v>62</v>
      </c>
      <c r="B167" s="114" t="s">
        <v>208</v>
      </c>
      <c r="C167" s="33"/>
      <c r="D167" s="33"/>
      <c r="E167" s="33"/>
      <c r="F167" s="23"/>
      <c r="G167" s="33"/>
      <c r="H167" s="33"/>
      <c r="I167" s="33"/>
      <c r="J167" s="33"/>
      <c r="K167" s="33"/>
      <c r="L167" s="33"/>
      <c r="M167" s="27">
        <f t="shared" si="12"/>
        <v>0</v>
      </c>
    </row>
    <row r="168" spans="1:13" s="103" customFormat="1" ht="132.75" customHeight="1" hidden="1">
      <c r="A168" s="96" t="s">
        <v>62</v>
      </c>
      <c r="B168" s="114" t="s">
        <v>208</v>
      </c>
      <c r="C168" s="33"/>
      <c r="D168" s="33"/>
      <c r="E168" s="33"/>
      <c r="F168" s="23"/>
      <c r="G168" s="33"/>
      <c r="H168" s="33"/>
      <c r="I168" s="33"/>
      <c r="J168" s="33"/>
      <c r="K168" s="33"/>
      <c r="L168" s="33"/>
      <c r="M168" s="27">
        <f t="shared" si="12"/>
        <v>0</v>
      </c>
    </row>
    <row r="169" spans="1:13" s="103" customFormat="1" ht="148.5" customHeight="1" hidden="1">
      <c r="A169" s="96" t="s">
        <v>62</v>
      </c>
      <c r="B169" s="114" t="s">
        <v>209</v>
      </c>
      <c r="C169" s="33"/>
      <c r="D169" s="33"/>
      <c r="E169" s="33"/>
      <c r="F169" s="23"/>
      <c r="G169" s="33"/>
      <c r="H169" s="33"/>
      <c r="I169" s="33"/>
      <c r="J169" s="33"/>
      <c r="K169" s="33"/>
      <c r="L169" s="33"/>
      <c r="M169" s="27">
        <f t="shared" si="12"/>
        <v>0</v>
      </c>
    </row>
    <row r="170" spans="1:13" s="4" customFormat="1" ht="96" customHeight="1">
      <c r="A170" s="1" t="s">
        <v>62</v>
      </c>
      <c r="B170" s="11" t="s">
        <v>8</v>
      </c>
      <c r="C170" s="22"/>
      <c r="D170" s="22"/>
      <c r="E170" s="22"/>
      <c r="F170" s="57">
        <f t="shared" si="10"/>
        <v>28.0037</v>
      </c>
      <c r="G170" s="22"/>
      <c r="H170" s="22"/>
      <c r="I170" s="22"/>
      <c r="J170" s="22">
        <v>28.0037</v>
      </c>
      <c r="K170" s="22"/>
      <c r="L170" s="22"/>
      <c r="M170" s="32">
        <f t="shared" si="12"/>
        <v>28.0037</v>
      </c>
    </row>
    <row r="171" spans="1:13" s="4" customFormat="1" ht="97.5" customHeight="1">
      <c r="A171" s="1" t="s">
        <v>62</v>
      </c>
      <c r="B171" s="11" t="s">
        <v>8</v>
      </c>
      <c r="C171" s="22"/>
      <c r="D171" s="22"/>
      <c r="E171" s="22"/>
      <c r="F171" s="57">
        <f t="shared" si="10"/>
        <v>180.2</v>
      </c>
      <c r="G171" s="22">
        <f>63+114.2</f>
        <v>177.2</v>
      </c>
      <c r="H171" s="22"/>
      <c r="I171" s="22"/>
      <c r="J171" s="22">
        <v>3</v>
      </c>
      <c r="K171" s="22"/>
      <c r="L171" s="22"/>
      <c r="M171" s="32">
        <f t="shared" si="12"/>
        <v>180.2</v>
      </c>
    </row>
    <row r="172" spans="1:41" s="80" customFormat="1" ht="35.25" customHeight="1">
      <c r="A172" s="25"/>
      <c r="B172" s="141" t="s">
        <v>29</v>
      </c>
      <c r="C172" s="31">
        <f>SUM(C164:C171)</f>
        <v>421.995</v>
      </c>
      <c r="D172" s="31">
        <f>SUM(D164:D171)</f>
        <v>0</v>
      </c>
      <c r="E172" s="31">
        <f>SUM(E164:E171)</f>
        <v>0</v>
      </c>
      <c r="F172" s="28">
        <f>G172+J172</f>
        <v>208.2037</v>
      </c>
      <c r="G172" s="31">
        <f aca="true" t="shared" si="20" ref="G172:L172">SUM(G164:G171)</f>
        <v>177.2</v>
      </c>
      <c r="H172" s="31">
        <f t="shared" si="20"/>
        <v>0</v>
      </c>
      <c r="I172" s="31">
        <f t="shared" si="20"/>
        <v>0</v>
      </c>
      <c r="J172" s="31">
        <f t="shared" si="20"/>
        <v>31.0037</v>
      </c>
      <c r="K172" s="31">
        <f t="shared" si="20"/>
        <v>0</v>
      </c>
      <c r="L172" s="31">
        <f t="shared" si="20"/>
        <v>0</v>
      </c>
      <c r="M172" s="31">
        <f>C172+F172</f>
        <v>630.1987</v>
      </c>
      <c r="N172" s="145"/>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row>
    <row r="173" spans="1:13" s="95" customFormat="1" ht="48" customHeight="1">
      <c r="A173" s="124" t="s">
        <v>226</v>
      </c>
      <c r="B173" s="162" t="s">
        <v>227</v>
      </c>
      <c r="C173" s="126"/>
      <c r="D173" s="126"/>
      <c r="E173" s="126"/>
      <c r="F173" s="127"/>
      <c r="G173" s="126"/>
      <c r="H173" s="126"/>
      <c r="I173" s="126"/>
      <c r="J173" s="126"/>
      <c r="K173" s="126"/>
      <c r="L173" s="126"/>
      <c r="M173" s="132"/>
    </row>
    <row r="174" spans="1:13" s="4" customFormat="1" ht="47.25" customHeight="1">
      <c r="A174" s="1" t="s">
        <v>88</v>
      </c>
      <c r="B174" s="7" t="s">
        <v>199</v>
      </c>
      <c r="C174" s="22">
        <f>40+150-10+50+80</f>
        <v>310</v>
      </c>
      <c r="D174" s="22"/>
      <c r="E174" s="22"/>
      <c r="F174" s="57">
        <f>G174+J174</f>
        <v>30</v>
      </c>
      <c r="G174" s="22"/>
      <c r="H174" s="22"/>
      <c r="I174" s="22"/>
      <c r="J174" s="22">
        <f>268-150-58-30</f>
        <v>30</v>
      </c>
      <c r="K174" s="22">
        <f>268-150-58-30</f>
        <v>30</v>
      </c>
      <c r="L174" s="22">
        <f>268-150-58-30</f>
        <v>30</v>
      </c>
      <c r="M174" s="32">
        <f aca="true" t="shared" si="21" ref="M174:M211">C174+F174</f>
        <v>340</v>
      </c>
    </row>
    <row r="175" spans="1:13" s="4" customFormat="1" ht="87" customHeight="1">
      <c r="A175" s="1" t="s">
        <v>88</v>
      </c>
      <c r="B175" s="17" t="s">
        <v>11</v>
      </c>
      <c r="C175" s="22">
        <v>30</v>
      </c>
      <c r="D175" s="22"/>
      <c r="E175" s="22"/>
      <c r="F175" s="57">
        <f>G175+J175</f>
        <v>0</v>
      </c>
      <c r="G175" s="22"/>
      <c r="H175" s="22"/>
      <c r="I175" s="22"/>
      <c r="J175" s="22"/>
      <c r="K175" s="22"/>
      <c r="L175" s="22"/>
      <c r="M175" s="32">
        <f t="shared" si="21"/>
        <v>30</v>
      </c>
    </row>
    <row r="176" spans="1:13" s="4" customFormat="1" ht="118.5" customHeight="1">
      <c r="A176" s="1" t="s">
        <v>88</v>
      </c>
      <c r="B176" s="16" t="s">
        <v>203</v>
      </c>
      <c r="C176" s="22"/>
      <c r="D176" s="22"/>
      <c r="E176" s="22"/>
      <c r="F176" s="57">
        <f aca="true" t="shared" si="22" ref="F176:F213">G176+J176</f>
        <v>129.47</v>
      </c>
      <c r="G176" s="22"/>
      <c r="H176" s="22"/>
      <c r="I176" s="22"/>
      <c r="J176" s="22">
        <v>129.47</v>
      </c>
      <c r="K176" s="22">
        <v>129.47</v>
      </c>
      <c r="L176" s="22">
        <v>129.47</v>
      </c>
      <c r="M176" s="32">
        <f t="shared" si="21"/>
        <v>129.47</v>
      </c>
    </row>
    <row r="177" spans="1:13" s="4" customFormat="1" ht="139.5" customHeight="1">
      <c r="A177" s="1" t="s">
        <v>88</v>
      </c>
      <c r="B177" s="16" t="s">
        <v>173</v>
      </c>
      <c r="C177" s="22"/>
      <c r="D177" s="22"/>
      <c r="E177" s="22"/>
      <c r="F177" s="57">
        <f>G177+J177</f>
        <v>44</v>
      </c>
      <c r="G177" s="22"/>
      <c r="H177" s="22"/>
      <c r="I177" s="22"/>
      <c r="J177" s="22">
        <v>44</v>
      </c>
      <c r="K177" s="22">
        <v>44</v>
      </c>
      <c r="L177" s="22"/>
      <c r="M177" s="32">
        <f>C177+F177</f>
        <v>44</v>
      </c>
    </row>
    <row r="178" spans="1:13" s="4" customFormat="1" ht="174" customHeight="1">
      <c r="A178" s="1" t="s">
        <v>88</v>
      </c>
      <c r="B178" s="39" t="s">
        <v>270</v>
      </c>
      <c r="C178" s="22"/>
      <c r="D178" s="22"/>
      <c r="E178" s="22"/>
      <c r="F178" s="57">
        <f t="shared" si="22"/>
        <v>43</v>
      </c>
      <c r="G178" s="22"/>
      <c r="H178" s="22"/>
      <c r="I178" s="22"/>
      <c r="J178" s="22">
        <v>43</v>
      </c>
      <c r="K178" s="22">
        <v>43</v>
      </c>
      <c r="L178" s="22"/>
      <c r="M178" s="32">
        <f t="shared" si="21"/>
        <v>43</v>
      </c>
    </row>
    <row r="179" spans="1:13" s="4" customFormat="1" ht="159.75" customHeight="1">
      <c r="A179" s="1" t="s">
        <v>88</v>
      </c>
      <c r="B179" s="39" t="s">
        <v>275</v>
      </c>
      <c r="C179" s="22">
        <f>88+38</f>
        <v>126</v>
      </c>
      <c r="D179" s="22"/>
      <c r="E179" s="22"/>
      <c r="F179" s="57">
        <f t="shared" si="22"/>
        <v>330.66947</v>
      </c>
      <c r="G179" s="22"/>
      <c r="H179" s="22"/>
      <c r="I179" s="22"/>
      <c r="J179" s="22">
        <f>277.66947+88-88+53</f>
        <v>330.66947</v>
      </c>
      <c r="K179" s="22">
        <f>277.66947+88-88+53</f>
        <v>330.66947</v>
      </c>
      <c r="L179" s="22">
        <f>277.66947+88-88</f>
        <v>277.66947</v>
      </c>
      <c r="M179" s="32">
        <f t="shared" si="21"/>
        <v>456.66947</v>
      </c>
    </row>
    <row r="180" spans="1:13" s="4" customFormat="1" ht="135" customHeight="1">
      <c r="A180" s="1" t="s">
        <v>88</v>
      </c>
      <c r="B180" s="39" t="s">
        <v>186</v>
      </c>
      <c r="C180" s="22">
        <f>20-1</f>
        <v>19</v>
      </c>
      <c r="D180" s="22"/>
      <c r="E180" s="22"/>
      <c r="F180" s="57">
        <f>G180+J180</f>
        <v>0</v>
      </c>
      <c r="G180" s="22"/>
      <c r="H180" s="22"/>
      <c r="I180" s="22"/>
      <c r="J180" s="22"/>
      <c r="K180" s="22"/>
      <c r="L180" s="22"/>
      <c r="M180" s="32">
        <f>C180+F180</f>
        <v>19</v>
      </c>
    </row>
    <row r="181" spans="1:13" s="4" customFormat="1" ht="126.75" customHeight="1">
      <c r="A181" s="1" t="s">
        <v>88</v>
      </c>
      <c r="B181" s="20" t="s">
        <v>253</v>
      </c>
      <c r="C181" s="22">
        <v>0.75847</v>
      </c>
      <c r="D181" s="22"/>
      <c r="E181" s="22"/>
      <c r="F181" s="57">
        <f t="shared" si="22"/>
        <v>0</v>
      </c>
      <c r="G181" s="22"/>
      <c r="H181" s="22"/>
      <c r="I181" s="22"/>
      <c r="J181" s="22"/>
      <c r="K181" s="22"/>
      <c r="L181" s="22"/>
      <c r="M181" s="32">
        <f t="shared" si="21"/>
        <v>0.75847</v>
      </c>
    </row>
    <row r="182" spans="1:13" s="4" customFormat="1" ht="119.25" customHeight="1">
      <c r="A182" s="1" t="s">
        <v>88</v>
      </c>
      <c r="B182" s="16" t="s">
        <v>252</v>
      </c>
      <c r="C182" s="22">
        <v>0.385</v>
      </c>
      <c r="D182" s="22"/>
      <c r="E182" s="22"/>
      <c r="F182" s="57">
        <f t="shared" si="22"/>
        <v>0</v>
      </c>
      <c r="G182" s="22"/>
      <c r="H182" s="22"/>
      <c r="I182" s="22"/>
      <c r="J182" s="22"/>
      <c r="K182" s="22"/>
      <c r="L182" s="22"/>
      <c r="M182" s="32">
        <f t="shared" si="21"/>
        <v>0.385</v>
      </c>
    </row>
    <row r="183" spans="1:13" s="4" customFormat="1" ht="77.25" customHeight="1">
      <c r="A183" s="1" t="s">
        <v>169</v>
      </c>
      <c r="B183" s="16" t="s">
        <v>254</v>
      </c>
      <c r="C183" s="22">
        <f>10-5</f>
        <v>5</v>
      </c>
      <c r="D183" s="22"/>
      <c r="E183" s="22"/>
      <c r="F183" s="57">
        <f>G183+J183</f>
        <v>0</v>
      </c>
      <c r="G183" s="22"/>
      <c r="H183" s="22"/>
      <c r="I183" s="22"/>
      <c r="J183" s="22"/>
      <c r="K183" s="22"/>
      <c r="L183" s="22"/>
      <c r="M183" s="32">
        <f>C183+F183</f>
        <v>5</v>
      </c>
    </row>
    <row r="184" spans="1:13" s="4" customFormat="1" ht="58.5" customHeight="1" hidden="1">
      <c r="A184" s="1" t="s">
        <v>88</v>
      </c>
      <c r="B184" s="16" t="s">
        <v>318</v>
      </c>
      <c r="C184" s="22"/>
      <c r="D184" s="22"/>
      <c r="E184" s="22"/>
      <c r="F184" s="57">
        <f t="shared" si="22"/>
        <v>0</v>
      </c>
      <c r="G184" s="22"/>
      <c r="H184" s="22"/>
      <c r="I184" s="22"/>
      <c r="J184" s="22"/>
      <c r="K184" s="22"/>
      <c r="L184" s="22"/>
      <c r="M184" s="32">
        <f t="shared" si="21"/>
        <v>0</v>
      </c>
    </row>
    <row r="185" spans="1:13" s="4" customFormat="1" ht="52.5" customHeight="1" hidden="1">
      <c r="A185" s="1" t="s">
        <v>88</v>
      </c>
      <c r="B185" s="16" t="s">
        <v>310</v>
      </c>
      <c r="C185" s="22"/>
      <c r="D185" s="22"/>
      <c r="E185" s="22"/>
      <c r="F185" s="57">
        <f t="shared" si="22"/>
        <v>0</v>
      </c>
      <c r="G185" s="22"/>
      <c r="H185" s="22"/>
      <c r="I185" s="22"/>
      <c r="J185" s="22"/>
      <c r="K185" s="22"/>
      <c r="L185" s="22"/>
      <c r="M185" s="32">
        <f t="shared" si="21"/>
        <v>0</v>
      </c>
    </row>
    <row r="186" spans="1:13" s="4" customFormat="1" ht="39.75" customHeight="1" hidden="1">
      <c r="A186" s="1" t="s">
        <v>88</v>
      </c>
      <c r="B186" s="16" t="s">
        <v>305</v>
      </c>
      <c r="C186" s="22"/>
      <c r="D186" s="22"/>
      <c r="E186" s="22"/>
      <c r="F186" s="57">
        <f t="shared" si="22"/>
        <v>0</v>
      </c>
      <c r="G186" s="22"/>
      <c r="H186" s="22"/>
      <c r="I186" s="22"/>
      <c r="J186" s="22"/>
      <c r="K186" s="22"/>
      <c r="L186" s="22"/>
      <c r="M186" s="32">
        <f t="shared" si="21"/>
        <v>0</v>
      </c>
    </row>
    <row r="187" spans="1:13" s="4" customFormat="1" ht="35.25" customHeight="1" hidden="1">
      <c r="A187" s="1" t="s">
        <v>225</v>
      </c>
      <c r="B187" s="16" t="s">
        <v>291</v>
      </c>
      <c r="C187" s="22"/>
      <c r="D187" s="22"/>
      <c r="E187" s="22"/>
      <c r="F187" s="57">
        <f t="shared" si="22"/>
        <v>0</v>
      </c>
      <c r="G187" s="22"/>
      <c r="H187" s="22"/>
      <c r="I187" s="22"/>
      <c r="J187" s="22"/>
      <c r="K187" s="22"/>
      <c r="L187" s="22"/>
      <c r="M187" s="32">
        <f t="shared" si="21"/>
        <v>0</v>
      </c>
    </row>
    <row r="188" spans="1:41" s="80" customFormat="1" ht="38.25" customHeight="1">
      <c r="A188" s="25"/>
      <c r="B188" s="141" t="s">
        <v>29</v>
      </c>
      <c r="C188" s="31">
        <f>SUM(C174:C187)</f>
        <v>491.14347</v>
      </c>
      <c r="D188" s="31">
        <f>SUM(D184:D187)</f>
        <v>0</v>
      </c>
      <c r="E188" s="31">
        <f>SUM(E184:E187)</f>
        <v>0</v>
      </c>
      <c r="F188" s="28">
        <f>G188+J188</f>
        <v>577.13947</v>
      </c>
      <c r="G188" s="31">
        <f aca="true" t="shared" si="23" ref="G188:L188">SUM(G174:G187)</f>
        <v>0</v>
      </c>
      <c r="H188" s="31">
        <f t="shared" si="23"/>
        <v>0</v>
      </c>
      <c r="I188" s="31">
        <f t="shared" si="23"/>
        <v>0</v>
      </c>
      <c r="J188" s="31">
        <f t="shared" si="23"/>
        <v>577.13947</v>
      </c>
      <c r="K188" s="31">
        <f t="shared" si="23"/>
        <v>577.13947</v>
      </c>
      <c r="L188" s="31">
        <f t="shared" si="23"/>
        <v>437.13946999999996</v>
      </c>
      <c r="M188" s="31">
        <f t="shared" si="21"/>
        <v>1068.28294</v>
      </c>
      <c r="N188" s="145"/>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row>
    <row r="189" spans="1:13" s="4" customFormat="1" ht="52.5" customHeight="1" hidden="1">
      <c r="A189" s="1" t="s">
        <v>292</v>
      </c>
      <c r="B189" s="39" t="s">
        <v>223</v>
      </c>
      <c r="C189" s="22">
        <v>0</v>
      </c>
      <c r="D189" s="22"/>
      <c r="E189" s="22"/>
      <c r="F189" s="57">
        <f t="shared" si="22"/>
        <v>0</v>
      </c>
      <c r="G189" s="22"/>
      <c r="H189" s="22"/>
      <c r="I189" s="22"/>
      <c r="J189" s="22"/>
      <c r="K189" s="22"/>
      <c r="L189" s="22"/>
      <c r="M189" s="32">
        <f t="shared" si="21"/>
        <v>0</v>
      </c>
    </row>
    <row r="190" spans="1:13" s="95" customFormat="1" ht="61.5" customHeight="1">
      <c r="A190" s="124" t="s">
        <v>228</v>
      </c>
      <c r="B190" s="163" t="s">
        <v>231</v>
      </c>
      <c r="C190" s="126"/>
      <c r="D190" s="126"/>
      <c r="E190" s="126"/>
      <c r="F190" s="127"/>
      <c r="G190" s="126"/>
      <c r="H190" s="126"/>
      <c r="I190" s="126"/>
      <c r="J190" s="126"/>
      <c r="K190" s="126"/>
      <c r="L190" s="126"/>
      <c r="M190" s="132"/>
    </row>
    <row r="191" spans="1:13" s="4" customFormat="1" ht="82.5" customHeight="1">
      <c r="A191" s="1" t="s">
        <v>68</v>
      </c>
      <c r="B191" s="19" t="s">
        <v>220</v>
      </c>
      <c r="C191" s="22">
        <f>19.5+8+7</f>
        <v>34.5</v>
      </c>
      <c r="D191" s="22"/>
      <c r="E191" s="22"/>
      <c r="F191" s="57">
        <f t="shared" si="22"/>
        <v>21.5</v>
      </c>
      <c r="G191" s="22"/>
      <c r="H191" s="22"/>
      <c r="I191" s="22"/>
      <c r="J191" s="22">
        <f>35.5-14</f>
        <v>21.5</v>
      </c>
      <c r="K191" s="22">
        <f>35.5-14</f>
        <v>21.5</v>
      </c>
      <c r="L191" s="22">
        <f>35.5-14</f>
        <v>21.5</v>
      </c>
      <c r="M191" s="32">
        <f t="shared" si="21"/>
        <v>56</v>
      </c>
    </row>
    <row r="192" spans="1:13" s="4" customFormat="1" ht="47.25" customHeight="1">
      <c r="A192" s="1" t="s">
        <v>63</v>
      </c>
      <c r="B192" s="19" t="s">
        <v>94</v>
      </c>
      <c r="C192" s="22">
        <f>247.7+1.3+4.9+1.5</f>
        <v>255.4</v>
      </c>
      <c r="D192" s="22">
        <f>164.85+3.5</f>
        <v>168.35</v>
      </c>
      <c r="E192" s="22">
        <v>6.2</v>
      </c>
      <c r="F192" s="57">
        <f t="shared" si="22"/>
        <v>3.5</v>
      </c>
      <c r="G192" s="22"/>
      <c r="H192" s="22"/>
      <c r="I192" s="22"/>
      <c r="J192" s="22">
        <v>3.5</v>
      </c>
      <c r="K192" s="22">
        <v>3.5</v>
      </c>
      <c r="L192" s="22">
        <v>3.5</v>
      </c>
      <c r="M192" s="32">
        <f t="shared" si="21"/>
        <v>258.9</v>
      </c>
    </row>
    <row r="193" spans="1:41" s="80" customFormat="1" ht="35.25" customHeight="1">
      <c r="A193" s="25"/>
      <c r="B193" s="141" t="s">
        <v>29</v>
      </c>
      <c r="C193" s="31">
        <f>SUM(C191:C192)</f>
        <v>289.9</v>
      </c>
      <c r="D193" s="31">
        <f>SUM(D191:D192)</f>
        <v>168.35</v>
      </c>
      <c r="E193" s="31">
        <f>SUM(E191:E192)</f>
        <v>6.2</v>
      </c>
      <c r="F193" s="28">
        <f t="shared" si="22"/>
        <v>25</v>
      </c>
      <c r="G193" s="31">
        <f aca="true" t="shared" si="24" ref="G193:L193">SUM(G191:G192)</f>
        <v>0</v>
      </c>
      <c r="H193" s="31">
        <f t="shared" si="24"/>
        <v>0</v>
      </c>
      <c r="I193" s="31">
        <f t="shared" si="24"/>
        <v>0</v>
      </c>
      <c r="J193" s="31">
        <f t="shared" si="24"/>
        <v>25</v>
      </c>
      <c r="K193" s="31">
        <f t="shared" si="24"/>
        <v>25</v>
      </c>
      <c r="L193" s="31">
        <f t="shared" si="24"/>
        <v>25</v>
      </c>
      <c r="M193" s="31">
        <f t="shared" si="21"/>
        <v>314.9</v>
      </c>
      <c r="N193" s="145"/>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row>
    <row r="194" spans="1:13" s="95" customFormat="1" ht="37.5" customHeight="1">
      <c r="A194" s="124" t="s">
        <v>24</v>
      </c>
      <c r="B194" s="125" t="s">
        <v>25</v>
      </c>
      <c r="C194" s="126"/>
      <c r="D194" s="126"/>
      <c r="E194" s="126"/>
      <c r="F194" s="127"/>
      <c r="G194" s="126"/>
      <c r="H194" s="126"/>
      <c r="I194" s="126"/>
      <c r="J194" s="126"/>
      <c r="K194" s="126"/>
      <c r="L194" s="126"/>
      <c r="M194" s="132"/>
    </row>
    <row r="195" spans="1:13" s="4" customFormat="1" ht="78" customHeight="1">
      <c r="A195" s="34" t="s">
        <v>99</v>
      </c>
      <c r="B195" s="13" t="s">
        <v>206</v>
      </c>
      <c r="C195" s="22"/>
      <c r="D195" s="22"/>
      <c r="E195" s="22"/>
      <c r="F195" s="57">
        <f t="shared" si="22"/>
        <v>234.95</v>
      </c>
      <c r="G195" s="22">
        <f>171.6-46.6</f>
        <v>125</v>
      </c>
      <c r="H195" s="22"/>
      <c r="I195" s="22"/>
      <c r="J195" s="22">
        <f>28.4+46.6+34.95</f>
        <v>109.95</v>
      </c>
      <c r="K195" s="22"/>
      <c r="L195" s="22"/>
      <c r="M195" s="32">
        <f t="shared" si="21"/>
        <v>234.95</v>
      </c>
    </row>
    <row r="196" spans="1:13" s="4" customFormat="1" ht="89.25" customHeight="1">
      <c r="A196" s="34" t="s">
        <v>99</v>
      </c>
      <c r="B196" s="13" t="s">
        <v>206</v>
      </c>
      <c r="C196" s="22"/>
      <c r="D196" s="22"/>
      <c r="E196" s="22"/>
      <c r="F196" s="57">
        <f t="shared" si="22"/>
        <v>20.03187</v>
      </c>
      <c r="G196" s="22">
        <v>20.03187</v>
      </c>
      <c r="H196" s="22"/>
      <c r="I196" s="22"/>
      <c r="J196" s="22"/>
      <c r="K196" s="22"/>
      <c r="L196" s="22"/>
      <c r="M196" s="32">
        <f t="shared" si="21"/>
        <v>20.03187</v>
      </c>
    </row>
    <row r="197" spans="1:13" s="4" customFormat="1" ht="58.5" customHeight="1" hidden="1">
      <c r="A197" s="34" t="s">
        <v>204</v>
      </c>
      <c r="B197" s="13" t="s">
        <v>205</v>
      </c>
      <c r="C197" s="22"/>
      <c r="D197" s="22"/>
      <c r="E197" s="22"/>
      <c r="F197" s="57">
        <f t="shared" si="22"/>
        <v>0</v>
      </c>
      <c r="G197" s="22"/>
      <c r="H197" s="22"/>
      <c r="I197" s="22"/>
      <c r="J197" s="22"/>
      <c r="K197" s="22"/>
      <c r="L197" s="22"/>
      <c r="M197" s="32">
        <f t="shared" si="21"/>
        <v>0</v>
      </c>
    </row>
    <row r="198" spans="1:13" s="4" customFormat="1" ht="141" customHeight="1">
      <c r="A198" s="34" t="s">
        <v>89</v>
      </c>
      <c r="B198" s="39" t="s">
        <v>271</v>
      </c>
      <c r="C198" s="22"/>
      <c r="D198" s="22"/>
      <c r="E198" s="22"/>
      <c r="F198" s="57">
        <f t="shared" si="22"/>
        <v>130.05701</v>
      </c>
      <c r="G198" s="22"/>
      <c r="H198" s="22"/>
      <c r="I198" s="22"/>
      <c r="J198" s="22">
        <v>130.05701</v>
      </c>
      <c r="K198" s="22"/>
      <c r="L198" s="22"/>
      <c r="M198" s="32">
        <f t="shared" si="21"/>
        <v>130.05701</v>
      </c>
    </row>
    <row r="199" spans="1:13" s="4" customFormat="1" ht="82.5" customHeight="1">
      <c r="A199" s="34" t="s">
        <v>89</v>
      </c>
      <c r="B199" s="13" t="s">
        <v>242</v>
      </c>
      <c r="C199" s="22"/>
      <c r="D199" s="22"/>
      <c r="E199" s="22"/>
      <c r="F199" s="57">
        <f t="shared" si="22"/>
        <v>11.9484</v>
      </c>
      <c r="G199" s="22">
        <v>11.9484</v>
      </c>
      <c r="H199" s="22"/>
      <c r="I199" s="22"/>
      <c r="J199" s="22"/>
      <c r="K199" s="22"/>
      <c r="L199" s="22"/>
      <c r="M199" s="32">
        <f t="shared" si="21"/>
        <v>11.9484</v>
      </c>
    </row>
    <row r="200" spans="1:13" s="4" customFormat="1" ht="99" customHeight="1">
      <c r="A200" s="34" t="s">
        <v>89</v>
      </c>
      <c r="B200" s="39" t="s">
        <v>191</v>
      </c>
      <c r="C200" s="22"/>
      <c r="D200" s="22"/>
      <c r="E200" s="22"/>
      <c r="F200" s="57">
        <f t="shared" si="22"/>
        <v>43.2</v>
      </c>
      <c r="G200" s="22">
        <f>6.2+15+22</f>
        <v>43.2</v>
      </c>
      <c r="H200" s="22"/>
      <c r="I200" s="22"/>
      <c r="J200" s="22"/>
      <c r="K200" s="22"/>
      <c r="L200" s="22"/>
      <c r="M200" s="32">
        <f t="shared" si="21"/>
        <v>43.2</v>
      </c>
    </row>
    <row r="201" spans="1:13" s="38" customFormat="1" ht="87.75" customHeight="1">
      <c r="A201" s="34" t="s">
        <v>89</v>
      </c>
      <c r="B201" s="35" t="s">
        <v>247</v>
      </c>
      <c r="C201" s="36"/>
      <c r="D201" s="36"/>
      <c r="E201" s="36"/>
      <c r="F201" s="57">
        <f>G201+J201</f>
        <v>13</v>
      </c>
      <c r="G201" s="36">
        <v>13</v>
      </c>
      <c r="H201" s="36"/>
      <c r="I201" s="36"/>
      <c r="J201" s="36"/>
      <c r="K201" s="36"/>
      <c r="L201" s="36"/>
      <c r="M201" s="32">
        <f>C201+F201</f>
        <v>13</v>
      </c>
    </row>
    <row r="202" spans="1:13" s="4" customFormat="1" ht="96" customHeight="1">
      <c r="A202" s="34" t="s">
        <v>89</v>
      </c>
      <c r="B202" s="39" t="s">
        <v>180</v>
      </c>
      <c r="C202" s="22"/>
      <c r="D202" s="22"/>
      <c r="E202" s="22"/>
      <c r="F202" s="57">
        <f t="shared" si="22"/>
        <v>7.8</v>
      </c>
      <c r="G202" s="22">
        <v>7.8</v>
      </c>
      <c r="H202" s="22"/>
      <c r="I202" s="22"/>
      <c r="J202" s="22"/>
      <c r="K202" s="22"/>
      <c r="L202" s="22"/>
      <c r="M202" s="32">
        <f t="shared" si="21"/>
        <v>7.8</v>
      </c>
    </row>
    <row r="203" spans="1:13" s="4" customFormat="1" ht="93.75">
      <c r="A203" s="34" t="s">
        <v>89</v>
      </c>
      <c r="B203" s="39" t="s">
        <v>293</v>
      </c>
      <c r="C203" s="22"/>
      <c r="D203" s="22"/>
      <c r="E203" s="22"/>
      <c r="F203" s="57">
        <f t="shared" si="22"/>
        <v>32.9</v>
      </c>
      <c r="G203" s="22">
        <v>32.9</v>
      </c>
      <c r="H203" s="22"/>
      <c r="I203" s="22"/>
      <c r="J203" s="22"/>
      <c r="K203" s="22"/>
      <c r="L203" s="22"/>
      <c r="M203" s="32">
        <f t="shared" si="21"/>
        <v>32.9</v>
      </c>
    </row>
    <row r="204" spans="1:41" s="80" customFormat="1" ht="39.75" customHeight="1">
      <c r="A204" s="25"/>
      <c r="B204" s="141" t="s">
        <v>29</v>
      </c>
      <c r="C204" s="31">
        <f>SUM(C195:C203)</f>
        <v>0</v>
      </c>
      <c r="D204" s="31">
        <f>SUM(D195:D203)</f>
        <v>0</v>
      </c>
      <c r="E204" s="31">
        <f>SUM(E195:E203)</f>
        <v>0</v>
      </c>
      <c r="F204" s="28">
        <f>G204+J204</f>
        <v>493.88728000000003</v>
      </c>
      <c r="G204" s="31">
        <f aca="true" t="shared" si="25" ref="G204:L204">SUM(G195:G203)</f>
        <v>253.88027000000002</v>
      </c>
      <c r="H204" s="31">
        <f t="shared" si="25"/>
        <v>0</v>
      </c>
      <c r="I204" s="31">
        <f t="shared" si="25"/>
        <v>0</v>
      </c>
      <c r="J204" s="31">
        <f t="shared" si="25"/>
        <v>240.00700999999998</v>
      </c>
      <c r="K204" s="31">
        <f t="shared" si="25"/>
        <v>0</v>
      </c>
      <c r="L204" s="31">
        <f t="shared" si="25"/>
        <v>0</v>
      </c>
      <c r="M204" s="31">
        <f>C204+F204</f>
        <v>493.88728000000003</v>
      </c>
      <c r="N204" s="145"/>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row>
    <row r="205" spans="1:13" s="164" customFormat="1" ht="50.25" customHeight="1">
      <c r="A205" s="124" t="s">
        <v>229</v>
      </c>
      <c r="B205" s="125" t="s">
        <v>230</v>
      </c>
      <c r="C205" s="126"/>
      <c r="D205" s="126"/>
      <c r="E205" s="126"/>
      <c r="F205" s="127"/>
      <c r="G205" s="126"/>
      <c r="H205" s="126"/>
      <c r="I205" s="126"/>
      <c r="J205" s="126"/>
      <c r="K205" s="126"/>
      <c r="L205" s="126"/>
      <c r="M205" s="132"/>
    </row>
    <row r="206" spans="1:13" s="4" customFormat="1" ht="35.25" customHeight="1">
      <c r="A206" s="34" t="s">
        <v>64</v>
      </c>
      <c r="B206" s="35" t="s">
        <v>131</v>
      </c>
      <c r="C206" s="22">
        <f>125+6.67134-7.1+1.5</f>
        <v>126.07133999999999</v>
      </c>
      <c r="D206" s="22"/>
      <c r="E206" s="22"/>
      <c r="F206" s="57">
        <f t="shared" si="22"/>
        <v>0</v>
      </c>
      <c r="G206" s="22"/>
      <c r="H206" s="22"/>
      <c r="I206" s="22"/>
      <c r="J206" s="22"/>
      <c r="K206" s="22"/>
      <c r="L206" s="22"/>
      <c r="M206" s="32">
        <f t="shared" si="21"/>
        <v>126.07133999999999</v>
      </c>
    </row>
    <row r="207" spans="1:13" s="4" customFormat="1" ht="84.75" customHeight="1">
      <c r="A207" s="34" t="s">
        <v>135</v>
      </c>
      <c r="B207" s="17" t="s">
        <v>316</v>
      </c>
      <c r="C207" s="36">
        <v>67.5</v>
      </c>
      <c r="D207" s="36">
        <v>32.8</v>
      </c>
      <c r="E207" s="36">
        <v>0.65</v>
      </c>
      <c r="F207" s="57">
        <f t="shared" si="22"/>
        <v>0</v>
      </c>
      <c r="G207" s="36"/>
      <c r="H207" s="36"/>
      <c r="I207" s="36"/>
      <c r="J207" s="36"/>
      <c r="K207" s="36"/>
      <c r="L207" s="36"/>
      <c r="M207" s="36">
        <f t="shared" si="21"/>
        <v>67.5</v>
      </c>
    </row>
    <row r="208" spans="1:41" s="80" customFormat="1" ht="33.75" customHeight="1">
      <c r="A208" s="25"/>
      <c r="B208" s="141" t="s">
        <v>29</v>
      </c>
      <c r="C208" s="31">
        <f>SUM(C206:C207)</f>
        <v>193.57134</v>
      </c>
      <c r="D208" s="31">
        <f aca="true" t="shared" si="26" ref="D208:L208">SUM(D206:D207)</f>
        <v>32.8</v>
      </c>
      <c r="E208" s="31">
        <f t="shared" si="26"/>
        <v>0.65</v>
      </c>
      <c r="F208" s="31">
        <f t="shared" si="26"/>
        <v>0</v>
      </c>
      <c r="G208" s="31">
        <f t="shared" si="26"/>
        <v>0</v>
      </c>
      <c r="H208" s="31">
        <f t="shared" si="26"/>
        <v>0</v>
      </c>
      <c r="I208" s="31">
        <f t="shared" si="26"/>
        <v>0</v>
      </c>
      <c r="J208" s="31">
        <f t="shared" si="26"/>
        <v>0</v>
      </c>
      <c r="K208" s="31">
        <f t="shared" si="26"/>
        <v>0</v>
      </c>
      <c r="L208" s="31">
        <f t="shared" si="26"/>
        <v>0</v>
      </c>
      <c r="M208" s="31">
        <f>C208+F208</f>
        <v>193.57134</v>
      </c>
      <c r="N208" s="145"/>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row>
    <row r="209" spans="1:14" s="4" customFormat="1" ht="67.5" customHeight="1" hidden="1">
      <c r="A209" s="34" t="s">
        <v>311</v>
      </c>
      <c r="B209" s="35" t="s">
        <v>312</v>
      </c>
      <c r="C209" s="31"/>
      <c r="D209" s="22"/>
      <c r="E209" s="22"/>
      <c r="F209" s="57">
        <f t="shared" si="22"/>
        <v>0</v>
      </c>
      <c r="G209" s="22"/>
      <c r="H209" s="22"/>
      <c r="I209" s="22"/>
      <c r="J209" s="22"/>
      <c r="K209" s="22"/>
      <c r="L209" s="22"/>
      <c r="M209" s="32">
        <f t="shared" si="21"/>
        <v>0</v>
      </c>
      <c r="N209" s="4">
        <v>317.1</v>
      </c>
    </row>
    <row r="210" spans="1:13" s="4" customFormat="1" ht="88.5" customHeight="1" hidden="1">
      <c r="A210" s="34" t="s">
        <v>283</v>
      </c>
      <c r="B210" s="19" t="s">
        <v>139</v>
      </c>
      <c r="C210" s="31"/>
      <c r="D210" s="22"/>
      <c r="E210" s="22"/>
      <c r="F210" s="57">
        <f t="shared" si="22"/>
        <v>0</v>
      </c>
      <c r="G210" s="22"/>
      <c r="H210" s="22"/>
      <c r="I210" s="22"/>
      <c r="J210" s="22"/>
      <c r="K210" s="22"/>
      <c r="L210" s="22"/>
      <c r="M210" s="32">
        <f t="shared" si="21"/>
        <v>0</v>
      </c>
    </row>
    <row r="211" spans="1:41" s="50" customFormat="1" ht="81.75" customHeight="1" hidden="1">
      <c r="A211" s="24">
        <v>250362</v>
      </c>
      <c r="B211" s="39" t="s">
        <v>202</v>
      </c>
      <c r="C211" s="31"/>
      <c r="D211" s="32"/>
      <c r="E211" s="32"/>
      <c r="F211" s="57">
        <f>4629.8-4629.8</f>
        <v>0</v>
      </c>
      <c r="G211" s="32"/>
      <c r="H211" s="32"/>
      <c r="I211" s="32"/>
      <c r="J211" s="32"/>
      <c r="K211" s="32"/>
      <c r="L211" s="32"/>
      <c r="M211" s="32">
        <f t="shared" si="21"/>
        <v>0</v>
      </c>
      <c r="N211" s="54">
        <v>-4629.8</v>
      </c>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15" s="93" customFormat="1" ht="39.75" customHeight="1">
      <c r="A212" s="91"/>
      <c r="B212" s="125" t="s">
        <v>167</v>
      </c>
      <c r="C212" s="92">
        <f>SUM(C24+C27+C43+C113+C130+C139+C143+C149+C158+C161+C172+C188+C193+C204+C208+C209)+C210</f>
        <v>90435.77124999999</v>
      </c>
      <c r="D212" s="92">
        <f>SUM(D24+D27+D43+D113+D130+D139+D143+D149+D158+D160+D172+D188+D193+D204+D208)</f>
        <v>46735.278000000006</v>
      </c>
      <c r="E212" s="92">
        <f>SUM(E24+E27+E43+E113+E130+E139+E143+E149+E158+E160+E172+E188+E193+E204+E208)</f>
        <v>5759.478</v>
      </c>
      <c r="F212" s="92">
        <f>SUM(F24+F27+F43+F113+F130+F139+F143+F149+F158+F160+F172+F188+F193+F204+F208+F211+F209)</f>
        <v>13966.702490000001</v>
      </c>
      <c r="G212" s="92">
        <f>SUM(G24+G27+G43+G113+G130+G139+G143+G149+G158+G160+G172+G188+G193+G204+G208)+G211</f>
        <v>4177.61227</v>
      </c>
      <c r="H212" s="92">
        <f>SUM(H24+H27+H43+H113+H130+H139+H143+H149+H158+H160+H172+H188+H193+H204+H208+H211)</f>
        <v>502.042</v>
      </c>
      <c r="I212" s="92">
        <f>SUM(I24+I27+I43+I113+I130+I139+I143+I149+I158+I160+I172+I188+I193+I204+I208+I211)</f>
        <v>46.656</v>
      </c>
      <c r="J212" s="92">
        <f>SUM(J24+J27+J43+J113+J130+J139+J143+J149+J158+J160+J172+J188+J193+J204+J208+J211)</f>
        <v>9789.090219999998</v>
      </c>
      <c r="K212" s="92">
        <f>SUM(K24+K27+K43+K113+K130+K139+K143+K149+K158+K160+K172+K188+K193+K204+K208+K211)</f>
        <v>9377.311510000001</v>
      </c>
      <c r="L212" s="92">
        <f>SUM(L24+L27+L43+L113+L130+L139+L143+L149+L158+L160+L172+L188+L193+L204+L208+L211)</f>
        <v>3795.40422</v>
      </c>
      <c r="M212" s="92">
        <f>SUM(M24+M27+M43+M113+M130+M139+M143+M149+M158+M160+M172+M188+M193+M204+M208+M211+M209)+M210</f>
        <v>104402.47373999997</v>
      </c>
      <c r="N212" s="179">
        <f>K212-9449.93947</f>
        <v>-72.62795999999798</v>
      </c>
      <c r="O212" s="180"/>
    </row>
    <row r="213" spans="1:13" s="103" customFormat="1" ht="165.75" customHeight="1" hidden="1">
      <c r="A213" s="96" t="s">
        <v>65</v>
      </c>
      <c r="B213" s="110" t="s">
        <v>319</v>
      </c>
      <c r="C213" s="33"/>
      <c r="D213" s="33"/>
      <c r="E213" s="33"/>
      <c r="F213" s="23">
        <f t="shared" si="22"/>
        <v>0</v>
      </c>
      <c r="G213" s="33"/>
      <c r="H213" s="33"/>
      <c r="I213" s="33"/>
      <c r="J213" s="33"/>
      <c r="K213" s="33"/>
      <c r="L213" s="33"/>
      <c r="M213" s="33">
        <f>C213+F213</f>
        <v>0</v>
      </c>
    </row>
    <row r="214" spans="1:13" s="4" customFormat="1" ht="37.5" hidden="1">
      <c r="A214" s="1"/>
      <c r="B214" s="13" t="s">
        <v>132</v>
      </c>
      <c r="C214" s="22" t="e">
        <f>C162+C46+#REF!+#REF!+C210</f>
        <v>#REF!</v>
      </c>
      <c r="D214" s="22"/>
      <c r="E214" s="22"/>
      <c r="F214" s="57" t="e">
        <f>G214+J214+F211</f>
        <v>#REF!</v>
      </c>
      <c r="G214" s="22" t="e">
        <f>G162+#REF!+G46+G115</f>
        <v>#REF!</v>
      </c>
      <c r="H214" s="22" t="e">
        <f>H162+#REF!+H46+H115</f>
        <v>#REF!</v>
      </c>
      <c r="I214" s="22" t="e">
        <f>I162+#REF!+I46+I115</f>
        <v>#REF!</v>
      </c>
      <c r="J214" s="22" t="e">
        <f>J162+#REF!+J46+J115</f>
        <v>#REF!</v>
      </c>
      <c r="K214" s="22" t="e">
        <f>K162+#REF!+K46+K115</f>
        <v>#REF!</v>
      </c>
      <c r="L214" s="22" t="e">
        <f>L162+#REF!+L46+L115</f>
        <v>#REF!</v>
      </c>
      <c r="M214" s="22" t="e">
        <f>F214+C214</f>
        <v>#REF!</v>
      </c>
    </row>
    <row r="215" spans="1:13" s="119" customFormat="1" ht="31.5" customHeight="1">
      <c r="A215" s="120"/>
      <c r="B215" s="121" t="s">
        <v>162</v>
      </c>
      <c r="C215" s="122"/>
      <c r="D215" s="122"/>
      <c r="E215" s="122"/>
      <c r="F215" s="123"/>
      <c r="G215" s="122"/>
      <c r="H215" s="122"/>
      <c r="I215" s="122"/>
      <c r="J215" s="122"/>
      <c r="K215" s="122"/>
      <c r="L215" s="122"/>
      <c r="M215" s="122"/>
    </row>
    <row r="216" spans="1:13" s="95" customFormat="1" ht="31.5" customHeight="1">
      <c r="A216" s="124" t="s">
        <v>31</v>
      </c>
      <c r="B216" s="125" t="s">
        <v>111</v>
      </c>
      <c r="C216" s="126"/>
      <c r="D216" s="126"/>
      <c r="E216" s="126"/>
      <c r="F216" s="127"/>
      <c r="G216" s="126"/>
      <c r="H216" s="126"/>
      <c r="I216" s="126"/>
      <c r="J216" s="126"/>
      <c r="K216" s="126"/>
      <c r="L216" s="126"/>
      <c r="M216" s="126"/>
    </row>
    <row r="217" spans="1:13" s="4" customFormat="1" ht="42" customHeight="1">
      <c r="A217" s="1" t="s">
        <v>114</v>
      </c>
      <c r="B217" s="13" t="s">
        <v>313</v>
      </c>
      <c r="C217" s="22"/>
      <c r="D217" s="22"/>
      <c r="E217" s="22"/>
      <c r="F217" s="57">
        <f>G217+J217</f>
        <v>0.31044</v>
      </c>
      <c r="G217" s="26"/>
      <c r="H217" s="26"/>
      <c r="I217" s="26"/>
      <c r="J217" s="26">
        <f>0.31044</f>
        <v>0.31044</v>
      </c>
      <c r="K217" s="26"/>
      <c r="L217" s="26"/>
      <c r="M217" s="32">
        <f>C217+F217</f>
        <v>0.31044</v>
      </c>
    </row>
    <row r="218" spans="1:13" s="4" customFormat="1" ht="36.75" customHeight="1">
      <c r="A218" s="1" t="s">
        <v>114</v>
      </c>
      <c r="B218" s="13" t="s">
        <v>136</v>
      </c>
      <c r="C218" s="36">
        <v>1.514</v>
      </c>
      <c r="D218" s="22"/>
      <c r="E218" s="22"/>
      <c r="F218" s="57">
        <f>G218+J218</f>
        <v>38.391</v>
      </c>
      <c r="G218" s="26"/>
      <c r="H218" s="26"/>
      <c r="I218" s="26"/>
      <c r="J218" s="26">
        <v>38.391</v>
      </c>
      <c r="K218" s="26">
        <v>38.391</v>
      </c>
      <c r="L218" s="26">
        <v>38.391</v>
      </c>
      <c r="M218" s="32">
        <f>C218+F218</f>
        <v>39.905</v>
      </c>
    </row>
    <row r="219" spans="1:14" s="64" customFormat="1" ht="96" customHeight="1">
      <c r="A219" s="1" t="s">
        <v>116</v>
      </c>
      <c r="B219" s="11" t="s">
        <v>164</v>
      </c>
      <c r="C219" s="128"/>
      <c r="D219" s="128"/>
      <c r="E219" s="128"/>
      <c r="F219" s="57">
        <f>G219+J219</f>
        <v>233.74828000000002</v>
      </c>
      <c r="G219" s="128">
        <v>153.972</v>
      </c>
      <c r="H219" s="128"/>
      <c r="I219" s="128"/>
      <c r="J219" s="36">
        <v>79.77628</v>
      </c>
      <c r="K219" s="36"/>
      <c r="L219" s="128"/>
      <c r="M219" s="32">
        <f>C219+F219</f>
        <v>233.74828000000002</v>
      </c>
      <c r="N219" s="63"/>
    </row>
    <row r="220" spans="1:14" s="64" customFormat="1" ht="96" customHeight="1">
      <c r="A220" s="1" t="s">
        <v>116</v>
      </c>
      <c r="B220" s="11" t="s">
        <v>188</v>
      </c>
      <c r="C220" s="128"/>
      <c r="D220" s="128"/>
      <c r="E220" s="128"/>
      <c r="F220" s="57">
        <f>G220+J220</f>
        <v>10</v>
      </c>
      <c r="G220" s="128"/>
      <c r="H220" s="128"/>
      <c r="I220" s="128"/>
      <c r="J220" s="36">
        <v>10</v>
      </c>
      <c r="K220" s="36">
        <v>10</v>
      </c>
      <c r="L220" s="36">
        <v>10</v>
      </c>
      <c r="M220" s="32">
        <f>C220+F220</f>
        <v>10</v>
      </c>
      <c r="N220" s="63"/>
    </row>
    <row r="221" spans="1:15" s="4" customFormat="1" ht="173.25" customHeight="1">
      <c r="A221" s="1" t="s">
        <v>103</v>
      </c>
      <c r="B221" s="7" t="s">
        <v>165</v>
      </c>
      <c r="C221" s="36">
        <f>230.5+0.172</f>
        <v>230.672</v>
      </c>
      <c r="D221" s="36"/>
      <c r="E221" s="36"/>
      <c r="F221" s="57">
        <f>G221+J221</f>
        <v>0</v>
      </c>
      <c r="G221" s="26"/>
      <c r="H221" s="26"/>
      <c r="I221" s="26"/>
      <c r="J221" s="26"/>
      <c r="K221" s="26"/>
      <c r="L221" s="26"/>
      <c r="M221" s="32">
        <f>C221+F221</f>
        <v>230.672</v>
      </c>
      <c r="N221" s="62">
        <f>C221</f>
        <v>230.672</v>
      </c>
      <c r="O221" s="4">
        <v>410358</v>
      </c>
    </row>
    <row r="222" spans="1:15" s="10" customFormat="1" ht="40.5" customHeight="1">
      <c r="A222" s="9"/>
      <c r="B222" s="115" t="s">
        <v>163</v>
      </c>
      <c r="C222" s="116">
        <f>SUM(C217:C221)</f>
        <v>232.186</v>
      </c>
      <c r="D222" s="116">
        <f aca="true" t="shared" si="27" ref="D222:M222">SUM(D217:D221)</f>
        <v>0</v>
      </c>
      <c r="E222" s="116">
        <f t="shared" si="27"/>
        <v>0</v>
      </c>
      <c r="F222" s="116">
        <f t="shared" si="27"/>
        <v>282.44972</v>
      </c>
      <c r="G222" s="116">
        <f t="shared" si="27"/>
        <v>153.972</v>
      </c>
      <c r="H222" s="116">
        <f t="shared" si="27"/>
        <v>0</v>
      </c>
      <c r="I222" s="116">
        <f t="shared" si="27"/>
        <v>0</v>
      </c>
      <c r="J222" s="116">
        <f t="shared" si="27"/>
        <v>128.47772</v>
      </c>
      <c r="K222" s="116">
        <f t="shared" si="27"/>
        <v>48.391</v>
      </c>
      <c r="L222" s="116">
        <f t="shared" si="27"/>
        <v>48.391</v>
      </c>
      <c r="M222" s="116">
        <f t="shared" si="27"/>
        <v>514.63572</v>
      </c>
      <c r="O222" s="193">
        <f>C222-C218</f>
        <v>230.672</v>
      </c>
    </row>
    <row r="223" spans="1:13" s="81" customFormat="1" ht="36.75" customHeight="1">
      <c r="A223" s="91" t="s">
        <v>32</v>
      </c>
      <c r="B223" s="117" t="s">
        <v>92</v>
      </c>
      <c r="C223" s="82"/>
      <c r="D223" s="82"/>
      <c r="E223" s="82"/>
      <c r="F223" s="83"/>
      <c r="G223" s="118"/>
      <c r="H223" s="118"/>
      <c r="I223" s="118"/>
      <c r="J223" s="118"/>
      <c r="K223" s="118"/>
      <c r="L223" s="118"/>
      <c r="M223" s="84"/>
    </row>
    <row r="224" spans="1:22" s="4" customFormat="1" ht="267" customHeight="1">
      <c r="A224" s="1" t="s">
        <v>72</v>
      </c>
      <c r="B224" s="11" t="s">
        <v>241</v>
      </c>
      <c r="C224" s="22">
        <v>1600</v>
      </c>
      <c r="D224" s="22"/>
      <c r="E224" s="22"/>
      <c r="F224" s="57">
        <f>G224+J224</f>
        <v>0</v>
      </c>
      <c r="G224" s="22"/>
      <c r="H224" s="22"/>
      <c r="I224" s="22"/>
      <c r="J224" s="22"/>
      <c r="K224" s="22"/>
      <c r="L224" s="22"/>
      <c r="M224" s="32">
        <f>C224+F224</f>
        <v>1600</v>
      </c>
      <c r="N224" s="8">
        <f>C224+C228+C231+C236+C245</f>
        <v>3736.8</v>
      </c>
      <c r="O224" s="8">
        <v>410308</v>
      </c>
      <c r="P224" s="8"/>
      <c r="Q224" s="8"/>
      <c r="R224" s="8"/>
      <c r="S224" s="8"/>
      <c r="T224" s="8"/>
      <c r="U224" s="8">
        <f>C234+C306+C304+C324+C325+C279</f>
        <v>165.3</v>
      </c>
      <c r="V224" s="8" t="e">
        <f>C247+#REF!+C251+C252</f>
        <v>#REF!</v>
      </c>
    </row>
    <row r="225" spans="1:21" s="4" customFormat="1" ht="259.5" customHeight="1">
      <c r="A225" s="1" t="s">
        <v>73</v>
      </c>
      <c r="B225" s="11" t="s">
        <v>243</v>
      </c>
      <c r="C225" s="22">
        <f>2+0.518+0.0022</f>
        <v>2.5202</v>
      </c>
      <c r="D225" s="22"/>
      <c r="E225" s="22"/>
      <c r="F225" s="57">
        <f>G225+J225</f>
        <v>0</v>
      </c>
      <c r="G225" s="22"/>
      <c r="H225" s="22"/>
      <c r="I225" s="22"/>
      <c r="J225" s="22"/>
      <c r="K225" s="22"/>
      <c r="L225" s="22"/>
      <c r="M225" s="32">
        <f>C225+F225</f>
        <v>2.5202</v>
      </c>
      <c r="N225" s="8">
        <f>C225+C232+C246</f>
        <v>3.0999999999999996</v>
      </c>
      <c r="O225" s="4">
        <v>410310</v>
      </c>
      <c r="U225" s="8">
        <f>U224-2459.9</f>
        <v>-2294.6</v>
      </c>
    </row>
    <row r="226" spans="1:15" s="4" customFormat="1" ht="286.5" customHeight="1">
      <c r="A226" s="1" t="s">
        <v>74</v>
      </c>
      <c r="B226" s="11" t="s">
        <v>296</v>
      </c>
      <c r="C226" s="30">
        <v>16</v>
      </c>
      <c r="D226" s="30"/>
      <c r="E226" s="30"/>
      <c r="F226" s="71">
        <f aca="true" t="shared" si="28" ref="F226:F279">G226+J226</f>
        <v>0</v>
      </c>
      <c r="G226" s="30"/>
      <c r="H226" s="30"/>
      <c r="I226" s="30"/>
      <c r="J226" s="30"/>
      <c r="K226" s="30"/>
      <c r="L226" s="30"/>
      <c r="M226" s="72">
        <f aca="true" t="shared" si="29" ref="M226:M279">C226+F226</f>
        <v>16</v>
      </c>
      <c r="N226" s="8">
        <f>C226+C233+C235+C274+C275</f>
        <v>692.6</v>
      </c>
      <c r="O226" s="4">
        <v>410309</v>
      </c>
    </row>
    <row r="227" spans="1:15" s="4" customFormat="1" ht="332.25" customHeight="1">
      <c r="A227" s="213" t="s">
        <v>75</v>
      </c>
      <c r="B227" s="65" t="s">
        <v>13</v>
      </c>
      <c r="C227" s="30"/>
      <c r="D227" s="30"/>
      <c r="E227" s="30"/>
      <c r="F227" s="71">
        <f t="shared" si="28"/>
        <v>0</v>
      </c>
      <c r="G227" s="30"/>
      <c r="H227" s="30"/>
      <c r="I227" s="30"/>
      <c r="J227" s="30"/>
      <c r="K227" s="30"/>
      <c r="L227" s="30"/>
      <c r="M227" s="72">
        <f t="shared" si="29"/>
        <v>0</v>
      </c>
      <c r="N227" s="62">
        <f>C237+C238+C239+C240+C241+C242+C243+C244+C253</f>
        <v>28591.200000000004</v>
      </c>
      <c r="O227" s="4">
        <v>410306</v>
      </c>
    </row>
    <row r="228" spans="1:14" s="4" customFormat="1" ht="390" customHeight="1">
      <c r="A228" s="214"/>
      <c r="B228" s="189" t="s">
        <v>14</v>
      </c>
      <c r="C228" s="190">
        <v>396.8</v>
      </c>
      <c r="D228" s="190"/>
      <c r="E228" s="190"/>
      <c r="F228" s="191">
        <f t="shared" si="28"/>
        <v>0</v>
      </c>
      <c r="G228" s="190"/>
      <c r="H228" s="190"/>
      <c r="I228" s="190"/>
      <c r="J228" s="190"/>
      <c r="K228" s="190"/>
      <c r="L228" s="190"/>
      <c r="M228" s="192">
        <f t="shared" si="29"/>
        <v>396.8</v>
      </c>
      <c r="N228" s="62">
        <f>N221+N224+N225+N227</f>
        <v>32561.772000000004</v>
      </c>
    </row>
    <row r="229" spans="1:14" s="61" customFormat="1" ht="33" customHeight="1" hidden="1">
      <c r="A229" s="66" t="s">
        <v>96</v>
      </c>
      <c r="B229" s="12" t="s">
        <v>105</v>
      </c>
      <c r="C229" s="22"/>
      <c r="D229" s="22"/>
      <c r="E229" s="22"/>
      <c r="F229" s="57">
        <f t="shared" si="28"/>
        <v>0</v>
      </c>
      <c r="G229" s="22"/>
      <c r="H229" s="22"/>
      <c r="I229" s="22"/>
      <c r="J229" s="22"/>
      <c r="K229" s="22"/>
      <c r="L229" s="22"/>
      <c r="M229" s="32">
        <f t="shared" si="29"/>
        <v>0</v>
      </c>
      <c r="N229" s="60"/>
    </row>
    <row r="230" spans="1:14" s="61" customFormat="1" ht="108" customHeight="1" hidden="1">
      <c r="A230" s="66" t="s">
        <v>87</v>
      </c>
      <c r="B230" s="11" t="s">
        <v>104</v>
      </c>
      <c r="C230" s="22"/>
      <c r="D230" s="22"/>
      <c r="E230" s="22"/>
      <c r="F230" s="57">
        <f t="shared" si="28"/>
        <v>0</v>
      </c>
      <c r="G230" s="22"/>
      <c r="H230" s="22"/>
      <c r="I230" s="22"/>
      <c r="J230" s="22"/>
      <c r="K230" s="22"/>
      <c r="L230" s="22"/>
      <c r="M230" s="32">
        <f t="shared" si="29"/>
        <v>0</v>
      </c>
      <c r="N230" s="60"/>
    </row>
    <row r="231" spans="1:14" s="4" customFormat="1" ht="120.75" customHeight="1">
      <c r="A231" s="1" t="s">
        <v>85</v>
      </c>
      <c r="B231" s="11" t="s">
        <v>245</v>
      </c>
      <c r="C231" s="22">
        <v>1000</v>
      </c>
      <c r="D231" s="22"/>
      <c r="E231" s="22"/>
      <c r="F231" s="57">
        <f t="shared" si="28"/>
        <v>0</v>
      </c>
      <c r="G231" s="22"/>
      <c r="H231" s="22"/>
      <c r="I231" s="22"/>
      <c r="J231" s="22"/>
      <c r="K231" s="22"/>
      <c r="L231" s="22"/>
      <c r="M231" s="32">
        <f t="shared" si="29"/>
        <v>1000</v>
      </c>
      <c r="N231" s="62">
        <f>SUM(N221:N227)</f>
        <v>33254.372</v>
      </c>
    </row>
    <row r="232" spans="1:15" s="4" customFormat="1" ht="124.5" customHeight="1">
      <c r="A232" s="1" t="s">
        <v>97</v>
      </c>
      <c r="B232" s="11" t="s">
        <v>244</v>
      </c>
      <c r="C232" s="22">
        <f>0.5-0.0022</f>
        <v>0.4978</v>
      </c>
      <c r="D232" s="22"/>
      <c r="E232" s="22"/>
      <c r="F232" s="57">
        <f t="shared" si="28"/>
        <v>0</v>
      </c>
      <c r="G232" s="22"/>
      <c r="H232" s="22"/>
      <c r="I232" s="22"/>
      <c r="J232" s="22"/>
      <c r="K232" s="22"/>
      <c r="L232" s="22"/>
      <c r="M232" s="32">
        <f t="shared" si="29"/>
        <v>0.4978</v>
      </c>
      <c r="N232" s="62">
        <f>C251+C234+C254+C255+C247</f>
        <v>251.95041000000003</v>
      </c>
      <c r="O232" s="4">
        <v>410352</v>
      </c>
    </row>
    <row r="233" spans="1:15" s="4" customFormat="1" ht="121.5" customHeight="1">
      <c r="A233" s="1" t="s">
        <v>67</v>
      </c>
      <c r="B233" s="11" t="s">
        <v>272</v>
      </c>
      <c r="C233" s="22">
        <v>30</v>
      </c>
      <c r="D233" s="22"/>
      <c r="E233" s="22"/>
      <c r="F233" s="57">
        <f t="shared" si="28"/>
        <v>0</v>
      </c>
      <c r="G233" s="22"/>
      <c r="H233" s="22"/>
      <c r="I233" s="22"/>
      <c r="J233" s="22"/>
      <c r="K233" s="22"/>
      <c r="L233" s="22"/>
      <c r="M233" s="32">
        <f t="shared" si="29"/>
        <v>30</v>
      </c>
      <c r="N233" s="62">
        <f>C249+C250</f>
        <v>61.726000000000006</v>
      </c>
      <c r="O233" s="4">
        <v>410356</v>
      </c>
    </row>
    <row r="234" spans="1:14" s="4" customFormat="1" ht="63.75" customHeight="1">
      <c r="A234" s="1" t="s">
        <v>102</v>
      </c>
      <c r="B234" s="11" t="s">
        <v>273</v>
      </c>
      <c r="C234" s="22">
        <v>165.3</v>
      </c>
      <c r="D234" s="22"/>
      <c r="E234" s="22"/>
      <c r="F234" s="57">
        <f t="shared" si="28"/>
        <v>0</v>
      </c>
      <c r="G234" s="22"/>
      <c r="H234" s="22"/>
      <c r="I234" s="22"/>
      <c r="J234" s="22"/>
      <c r="K234" s="22"/>
      <c r="L234" s="22"/>
      <c r="M234" s="32">
        <f t="shared" si="29"/>
        <v>165.3</v>
      </c>
      <c r="N234" s="62">
        <f>SUM(N232:N233)</f>
        <v>313.67641000000003</v>
      </c>
    </row>
    <row r="235" spans="1:14" s="4" customFormat="1" ht="50.25" customHeight="1">
      <c r="A235" s="1" t="s">
        <v>107</v>
      </c>
      <c r="B235" s="11" t="s">
        <v>134</v>
      </c>
      <c r="C235" s="22">
        <f>215+5-74.946</f>
        <v>145.054</v>
      </c>
      <c r="D235" s="22"/>
      <c r="E235" s="22"/>
      <c r="F235" s="57">
        <f t="shared" si="28"/>
        <v>0</v>
      </c>
      <c r="G235" s="22"/>
      <c r="H235" s="22"/>
      <c r="I235" s="22"/>
      <c r="J235" s="22"/>
      <c r="K235" s="22"/>
      <c r="L235" s="22"/>
      <c r="M235" s="32">
        <f t="shared" si="29"/>
        <v>145.054</v>
      </c>
      <c r="N235" s="62">
        <f>N234+N231</f>
        <v>33568.04841</v>
      </c>
    </row>
    <row r="236" spans="1:14" s="4" customFormat="1" ht="153" customHeight="1">
      <c r="A236" s="1" t="s">
        <v>274</v>
      </c>
      <c r="B236" s="11" t="s">
        <v>12</v>
      </c>
      <c r="C236" s="22">
        <v>220</v>
      </c>
      <c r="D236" s="22"/>
      <c r="E236" s="22"/>
      <c r="F236" s="57">
        <f t="shared" si="28"/>
        <v>0</v>
      </c>
      <c r="G236" s="22"/>
      <c r="H236" s="22"/>
      <c r="I236" s="22"/>
      <c r="J236" s="22"/>
      <c r="K236" s="22"/>
      <c r="L236" s="22"/>
      <c r="M236" s="32">
        <f t="shared" si="29"/>
        <v>220</v>
      </c>
      <c r="N236" s="62">
        <f>N235-C233-C234-C235-C226</f>
        <v>33211.694410000004</v>
      </c>
    </row>
    <row r="237" spans="1:13" s="4" customFormat="1" ht="37.5">
      <c r="A237" s="1" t="s">
        <v>76</v>
      </c>
      <c r="B237" s="13" t="s">
        <v>140</v>
      </c>
      <c r="C237" s="22">
        <f>300-10.864</f>
        <v>289.136</v>
      </c>
      <c r="D237" s="22"/>
      <c r="E237" s="22"/>
      <c r="F237" s="57">
        <f t="shared" si="28"/>
        <v>0</v>
      </c>
      <c r="G237" s="22"/>
      <c r="H237" s="22"/>
      <c r="I237" s="22"/>
      <c r="J237" s="22"/>
      <c r="K237" s="22"/>
      <c r="L237" s="22"/>
      <c r="M237" s="32">
        <f t="shared" si="29"/>
        <v>289.136</v>
      </c>
    </row>
    <row r="238" spans="1:13" s="4" customFormat="1" ht="37.5" customHeight="1">
      <c r="A238" s="1" t="s">
        <v>77</v>
      </c>
      <c r="B238" s="13" t="s">
        <v>141</v>
      </c>
      <c r="C238" s="22">
        <f>4320-23.431-21.646</f>
        <v>4274.923000000001</v>
      </c>
      <c r="D238" s="22"/>
      <c r="E238" s="22"/>
      <c r="F238" s="57">
        <f t="shared" si="28"/>
        <v>0</v>
      </c>
      <c r="G238" s="22"/>
      <c r="H238" s="22"/>
      <c r="I238" s="22"/>
      <c r="J238" s="22"/>
      <c r="K238" s="22"/>
      <c r="L238" s="22"/>
      <c r="M238" s="32">
        <f t="shared" si="29"/>
        <v>4274.923000000001</v>
      </c>
    </row>
    <row r="239" spans="1:13" s="4" customFormat="1" ht="40.5" customHeight="1">
      <c r="A239" s="1" t="s">
        <v>78</v>
      </c>
      <c r="B239" s="13" t="s">
        <v>297</v>
      </c>
      <c r="C239" s="22">
        <f>15485.2-37.478-69.044+27.87609</f>
        <v>15406.554090000001</v>
      </c>
      <c r="D239" s="22"/>
      <c r="E239" s="22"/>
      <c r="F239" s="57">
        <f t="shared" si="28"/>
        <v>0</v>
      </c>
      <c r="G239" s="22"/>
      <c r="H239" s="22"/>
      <c r="I239" s="22"/>
      <c r="J239" s="22"/>
      <c r="K239" s="22"/>
      <c r="L239" s="22"/>
      <c r="M239" s="32">
        <f t="shared" si="29"/>
        <v>15406.554090000001</v>
      </c>
    </row>
    <row r="240" spans="1:13" s="4" customFormat="1" ht="53.25" customHeight="1">
      <c r="A240" s="1" t="s">
        <v>79</v>
      </c>
      <c r="B240" s="13" t="s">
        <v>149</v>
      </c>
      <c r="C240" s="36">
        <f>1800-8.7+6.058</f>
        <v>1797.358</v>
      </c>
      <c r="D240" s="22"/>
      <c r="E240" s="22"/>
      <c r="F240" s="57">
        <f t="shared" si="28"/>
        <v>0</v>
      </c>
      <c r="G240" s="22"/>
      <c r="H240" s="22"/>
      <c r="I240" s="22"/>
      <c r="J240" s="22"/>
      <c r="K240" s="22"/>
      <c r="L240" s="22"/>
      <c r="M240" s="32">
        <f t="shared" si="29"/>
        <v>1797.358</v>
      </c>
    </row>
    <row r="241" spans="1:13" s="4" customFormat="1" ht="39" customHeight="1">
      <c r="A241" s="1" t="s">
        <v>80</v>
      </c>
      <c r="B241" s="13" t="s">
        <v>148</v>
      </c>
      <c r="C241" s="36">
        <f>2400-43.856</f>
        <v>2356.144</v>
      </c>
      <c r="D241" s="22"/>
      <c r="E241" s="22"/>
      <c r="F241" s="57">
        <f t="shared" si="28"/>
        <v>0</v>
      </c>
      <c r="G241" s="22"/>
      <c r="H241" s="22"/>
      <c r="I241" s="22"/>
      <c r="J241" s="22"/>
      <c r="K241" s="22"/>
      <c r="L241" s="22"/>
      <c r="M241" s="32">
        <f t="shared" si="29"/>
        <v>2356.144</v>
      </c>
    </row>
    <row r="242" spans="1:13" s="4" customFormat="1" ht="46.5" customHeight="1">
      <c r="A242" s="1" t="s">
        <v>98</v>
      </c>
      <c r="B242" s="13" t="s">
        <v>142</v>
      </c>
      <c r="C242" s="36">
        <f>530.9-34.27</f>
        <v>496.63</v>
      </c>
      <c r="D242" s="22"/>
      <c r="E242" s="22"/>
      <c r="F242" s="57">
        <f t="shared" si="28"/>
        <v>0</v>
      </c>
      <c r="G242" s="22"/>
      <c r="H242" s="22"/>
      <c r="I242" s="22"/>
      <c r="J242" s="22"/>
      <c r="K242" s="22"/>
      <c r="L242" s="22"/>
      <c r="M242" s="32">
        <f t="shared" si="29"/>
        <v>496.63</v>
      </c>
    </row>
    <row r="243" spans="1:13" s="4" customFormat="1" ht="47.25" customHeight="1">
      <c r="A243" s="1" t="s">
        <v>232</v>
      </c>
      <c r="B243" s="13" t="s">
        <v>233</v>
      </c>
      <c r="C243" s="36">
        <f>30.8+11.311+0.805+1.944+10.9967</f>
        <v>55.856700000000004</v>
      </c>
      <c r="D243" s="22"/>
      <c r="E243" s="22"/>
      <c r="F243" s="57">
        <f t="shared" si="28"/>
        <v>0</v>
      </c>
      <c r="G243" s="22"/>
      <c r="H243" s="22"/>
      <c r="I243" s="22"/>
      <c r="J243" s="22"/>
      <c r="K243" s="22"/>
      <c r="L243" s="22"/>
      <c r="M243" s="32">
        <f t="shared" si="29"/>
        <v>55.856700000000004</v>
      </c>
    </row>
    <row r="244" spans="1:13" s="4" customFormat="1" ht="49.5" customHeight="1">
      <c r="A244" s="1" t="s">
        <v>33</v>
      </c>
      <c r="B244" s="13" t="s">
        <v>143</v>
      </c>
      <c r="C244" s="36">
        <f>768.7+26.167+22.626+75.8+76.64821</f>
        <v>969.94121</v>
      </c>
      <c r="D244" s="22"/>
      <c r="E244" s="22"/>
      <c r="F244" s="57">
        <f t="shared" si="28"/>
        <v>0</v>
      </c>
      <c r="G244" s="22"/>
      <c r="H244" s="22"/>
      <c r="I244" s="22"/>
      <c r="J244" s="22"/>
      <c r="K244" s="22"/>
      <c r="L244" s="22"/>
      <c r="M244" s="32">
        <f t="shared" si="29"/>
        <v>969.94121</v>
      </c>
    </row>
    <row r="245" spans="1:13" s="4" customFormat="1" ht="69.75" customHeight="1">
      <c r="A245" s="1" t="s">
        <v>43</v>
      </c>
      <c r="B245" s="13" t="s">
        <v>18</v>
      </c>
      <c r="C245" s="22">
        <v>520</v>
      </c>
      <c r="D245" s="22"/>
      <c r="E245" s="22"/>
      <c r="F245" s="57">
        <f t="shared" si="28"/>
        <v>0</v>
      </c>
      <c r="G245" s="22"/>
      <c r="H245" s="22"/>
      <c r="I245" s="22"/>
      <c r="J245" s="22"/>
      <c r="K245" s="22"/>
      <c r="L245" s="22"/>
      <c r="M245" s="32">
        <f t="shared" si="29"/>
        <v>520</v>
      </c>
    </row>
    <row r="246" spans="1:13" s="4" customFormat="1" ht="82.5" customHeight="1">
      <c r="A246" s="1" t="s">
        <v>157</v>
      </c>
      <c r="B246" s="13" t="s">
        <v>210</v>
      </c>
      <c r="C246" s="22">
        <f>0.6-0.518</f>
        <v>0.08199999999999996</v>
      </c>
      <c r="D246" s="22"/>
      <c r="E246" s="22"/>
      <c r="F246" s="57">
        <f t="shared" si="28"/>
        <v>0</v>
      </c>
      <c r="G246" s="22"/>
      <c r="H246" s="22"/>
      <c r="I246" s="22"/>
      <c r="J246" s="22"/>
      <c r="K246" s="22"/>
      <c r="L246" s="22"/>
      <c r="M246" s="32">
        <f t="shared" si="29"/>
        <v>0.08199999999999996</v>
      </c>
    </row>
    <row r="247" spans="1:13" s="4" customFormat="1" ht="129.75" customHeight="1">
      <c r="A247" s="1" t="s">
        <v>137</v>
      </c>
      <c r="B247" s="11" t="s">
        <v>138</v>
      </c>
      <c r="C247" s="22">
        <f>49.6+1.5+8.85041</f>
        <v>59.950410000000005</v>
      </c>
      <c r="D247" s="22"/>
      <c r="E247" s="22"/>
      <c r="F247" s="57">
        <f t="shared" si="28"/>
        <v>0</v>
      </c>
      <c r="G247" s="22"/>
      <c r="H247" s="22"/>
      <c r="I247" s="22"/>
      <c r="J247" s="22"/>
      <c r="K247" s="22"/>
      <c r="L247" s="22"/>
      <c r="M247" s="32">
        <f t="shared" si="29"/>
        <v>59.950410000000005</v>
      </c>
    </row>
    <row r="248" spans="1:13" s="38" customFormat="1" ht="71.25" customHeight="1">
      <c r="A248" s="34" t="s">
        <v>137</v>
      </c>
      <c r="B248" s="35" t="s">
        <v>246</v>
      </c>
      <c r="C248" s="22">
        <v>40.3</v>
      </c>
      <c r="D248" s="36"/>
      <c r="E248" s="36"/>
      <c r="F248" s="36">
        <f t="shared" si="28"/>
        <v>0</v>
      </c>
      <c r="G248" s="128"/>
      <c r="H248" s="36"/>
      <c r="I248" s="36"/>
      <c r="J248" s="36"/>
      <c r="K248" s="36"/>
      <c r="L248" s="36"/>
      <c r="M248" s="36">
        <f t="shared" si="29"/>
        <v>40.3</v>
      </c>
    </row>
    <row r="249" spans="1:13" s="4" customFormat="1" ht="61.5" customHeight="1">
      <c r="A249" s="1" t="s">
        <v>45</v>
      </c>
      <c r="B249" s="13" t="s">
        <v>324</v>
      </c>
      <c r="C249" s="22">
        <f>22.92+1.32</f>
        <v>24.240000000000002</v>
      </c>
      <c r="D249" s="22"/>
      <c r="E249" s="22"/>
      <c r="F249" s="57">
        <f t="shared" si="28"/>
        <v>0</v>
      </c>
      <c r="G249" s="22"/>
      <c r="H249" s="22"/>
      <c r="I249" s="22"/>
      <c r="J249" s="22"/>
      <c r="K249" s="22"/>
      <c r="L249" s="22"/>
      <c r="M249" s="32">
        <f t="shared" si="29"/>
        <v>24.240000000000002</v>
      </c>
    </row>
    <row r="250" spans="1:13" s="4" customFormat="1" ht="48.75" customHeight="1">
      <c r="A250" s="1" t="s">
        <v>44</v>
      </c>
      <c r="B250" s="14" t="s">
        <v>325</v>
      </c>
      <c r="C250" s="22">
        <f>40.7-3.214</f>
        <v>37.486000000000004</v>
      </c>
      <c r="D250" s="22"/>
      <c r="E250" s="22"/>
      <c r="F250" s="57">
        <f t="shared" si="28"/>
        <v>0</v>
      </c>
      <c r="G250" s="22"/>
      <c r="H250" s="22"/>
      <c r="I250" s="22"/>
      <c r="J250" s="22"/>
      <c r="K250" s="22"/>
      <c r="L250" s="22"/>
      <c r="M250" s="32">
        <f t="shared" si="29"/>
        <v>37.486000000000004</v>
      </c>
    </row>
    <row r="251" spans="1:13" s="4" customFormat="1" ht="57" customHeight="1">
      <c r="A251" s="1" t="s">
        <v>93</v>
      </c>
      <c r="B251" s="13" t="s">
        <v>323</v>
      </c>
      <c r="C251" s="22">
        <v>19.3</v>
      </c>
      <c r="D251" s="22"/>
      <c r="E251" s="22"/>
      <c r="F251" s="57">
        <f t="shared" si="28"/>
        <v>0</v>
      </c>
      <c r="G251" s="22"/>
      <c r="H251" s="22"/>
      <c r="I251" s="22"/>
      <c r="J251" s="22"/>
      <c r="K251" s="22"/>
      <c r="L251" s="22"/>
      <c r="M251" s="32">
        <f t="shared" si="29"/>
        <v>19.3</v>
      </c>
    </row>
    <row r="252" spans="1:13" s="5" customFormat="1" ht="113.25" customHeight="1">
      <c r="A252" s="1" t="s">
        <v>46</v>
      </c>
      <c r="B252" s="13" t="s">
        <v>315</v>
      </c>
      <c r="C252" s="22"/>
      <c r="D252" s="22"/>
      <c r="E252" s="22"/>
      <c r="F252" s="57">
        <f t="shared" si="28"/>
        <v>136.23885</v>
      </c>
      <c r="G252" s="22"/>
      <c r="H252" s="22"/>
      <c r="I252" s="22"/>
      <c r="J252" s="22">
        <v>136.23885</v>
      </c>
      <c r="K252" s="22"/>
      <c r="L252" s="22"/>
      <c r="M252" s="32">
        <f t="shared" si="29"/>
        <v>136.23885</v>
      </c>
    </row>
    <row r="253" spans="1:13" s="4" customFormat="1" ht="63.75" customHeight="1">
      <c r="A253" s="1" t="s">
        <v>49</v>
      </c>
      <c r="B253" s="13" t="s">
        <v>20</v>
      </c>
      <c r="C253" s="22">
        <f>2955.6-10.943</f>
        <v>2944.6569999999997</v>
      </c>
      <c r="D253" s="22"/>
      <c r="E253" s="22"/>
      <c r="F253" s="57">
        <f t="shared" si="28"/>
        <v>0</v>
      </c>
      <c r="G253" s="22"/>
      <c r="H253" s="22"/>
      <c r="I253" s="22"/>
      <c r="J253" s="22"/>
      <c r="K253" s="22"/>
      <c r="L253" s="22"/>
      <c r="M253" s="32">
        <f t="shared" si="29"/>
        <v>2944.6569999999997</v>
      </c>
    </row>
    <row r="254" spans="1:13" s="4" customFormat="1" ht="83.25" customHeight="1">
      <c r="A254" s="1" t="s">
        <v>108</v>
      </c>
      <c r="B254" s="13" t="s">
        <v>144</v>
      </c>
      <c r="C254" s="22">
        <v>6.32</v>
      </c>
      <c r="D254" s="22"/>
      <c r="E254" s="22"/>
      <c r="F254" s="57">
        <f t="shared" si="28"/>
        <v>0</v>
      </c>
      <c r="G254" s="22"/>
      <c r="H254" s="22"/>
      <c r="I254" s="22"/>
      <c r="J254" s="22"/>
      <c r="K254" s="22"/>
      <c r="L254" s="22"/>
      <c r="M254" s="32">
        <f t="shared" si="29"/>
        <v>6.32</v>
      </c>
    </row>
    <row r="255" spans="1:14" s="4" customFormat="1" ht="45" customHeight="1">
      <c r="A255" s="1" t="s">
        <v>109</v>
      </c>
      <c r="B255" s="13" t="s">
        <v>145</v>
      </c>
      <c r="C255" s="22">
        <v>1.08</v>
      </c>
      <c r="D255" s="22"/>
      <c r="E255" s="22"/>
      <c r="F255" s="57">
        <f t="shared" si="28"/>
        <v>0</v>
      </c>
      <c r="G255" s="22"/>
      <c r="H255" s="22"/>
      <c r="I255" s="22"/>
      <c r="J255" s="22"/>
      <c r="K255" s="22"/>
      <c r="L255" s="22"/>
      <c r="M255" s="32">
        <f t="shared" si="29"/>
        <v>1.08</v>
      </c>
      <c r="N255" s="62" t="e">
        <f>C255+C254+C251+C247+#REF!</f>
        <v>#REF!</v>
      </c>
    </row>
    <row r="256" spans="1:15" s="131" customFormat="1" ht="45" customHeight="1">
      <c r="A256" s="129"/>
      <c r="B256" s="130" t="s">
        <v>35</v>
      </c>
      <c r="C256" s="116">
        <f>SUM(C224:C255)</f>
        <v>32876.13041000001</v>
      </c>
      <c r="D256" s="116">
        <f aca="true" t="shared" si="30" ref="D256:M256">SUM(D224:D255)</f>
        <v>0</v>
      </c>
      <c r="E256" s="116">
        <f t="shared" si="30"/>
        <v>0</v>
      </c>
      <c r="F256" s="116">
        <f t="shared" si="30"/>
        <v>136.23885</v>
      </c>
      <c r="G256" s="116">
        <f t="shared" si="30"/>
        <v>0</v>
      </c>
      <c r="H256" s="116">
        <f t="shared" si="30"/>
        <v>0</v>
      </c>
      <c r="I256" s="116">
        <f t="shared" si="30"/>
        <v>0</v>
      </c>
      <c r="J256" s="116">
        <f t="shared" si="30"/>
        <v>136.23885</v>
      </c>
      <c r="K256" s="116">
        <f t="shared" si="30"/>
        <v>0</v>
      </c>
      <c r="L256" s="116">
        <f t="shared" si="30"/>
        <v>0</v>
      </c>
      <c r="M256" s="116">
        <f t="shared" si="30"/>
        <v>33012.369260000014</v>
      </c>
      <c r="N256" s="177">
        <f>C256-N236</f>
        <v>-335.5639999999912</v>
      </c>
      <c r="O256" s="177">
        <f>C256-C255-C254-C251-C250-C249-C247-C234</f>
        <v>32562.454000000012</v>
      </c>
    </row>
    <row r="257" spans="1:13" s="95" customFormat="1" ht="42.75" customHeight="1">
      <c r="A257" s="124" t="s">
        <v>50</v>
      </c>
      <c r="B257" s="125" t="s">
        <v>51</v>
      </c>
      <c r="C257" s="126"/>
      <c r="D257" s="126"/>
      <c r="E257" s="126"/>
      <c r="F257" s="126"/>
      <c r="G257" s="126"/>
      <c r="H257" s="126"/>
      <c r="I257" s="126"/>
      <c r="J257" s="126"/>
      <c r="K257" s="126"/>
      <c r="L257" s="126"/>
      <c r="M257" s="126"/>
    </row>
    <row r="258" spans="1:13" s="4" customFormat="1" ht="48.75" customHeight="1">
      <c r="A258" s="34" t="s">
        <v>52</v>
      </c>
      <c r="B258" s="19" t="s">
        <v>264</v>
      </c>
      <c r="C258" s="22"/>
      <c r="D258" s="22"/>
      <c r="E258" s="22"/>
      <c r="F258" s="57">
        <f t="shared" si="28"/>
        <v>467.65572</v>
      </c>
      <c r="G258" s="22"/>
      <c r="H258" s="22"/>
      <c r="I258" s="22"/>
      <c r="J258" s="22">
        <f>415.61172+52.044</f>
        <v>467.65572</v>
      </c>
      <c r="K258" s="22"/>
      <c r="L258" s="22"/>
      <c r="M258" s="32">
        <f t="shared" si="29"/>
        <v>467.65572</v>
      </c>
    </row>
    <row r="259" spans="1:13" s="4" customFormat="1" ht="101.25" customHeight="1">
      <c r="A259" s="34" t="s">
        <v>86</v>
      </c>
      <c r="B259" s="19" t="s">
        <v>174</v>
      </c>
      <c r="C259" s="22"/>
      <c r="D259" s="22"/>
      <c r="E259" s="22"/>
      <c r="F259" s="57">
        <f>G259+J259</f>
        <v>97</v>
      </c>
      <c r="G259" s="22"/>
      <c r="H259" s="22"/>
      <c r="I259" s="22"/>
      <c r="J259" s="22">
        <v>97</v>
      </c>
      <c r="K259" s="22">
        <v>97</v>
      </c>
      <c r="L259" s="22">
        <v>97</v>
      </c>
      <c r="M259" s="32">
        <f>C259+F259</f>
        <v>97</v>
      </c>
    </row>
    <row r="260" spans="1:13" s="4" customFormat="1" ht="48" customHeight="1">
      <c r="A260" s="34" t="s">
        <v>289</v>
      </c>
      <c r="B260" s="19" t="s">
        <v>265</v>
      </c>
      <c r="C260" s="22"/>
      <c r="D260" s="22"/>
      <c r="E260" s="22"/>
      <c r="F260" s="57">
        <f t="shared" si="28"/>
        <v>424.19606</v>
      </c>
      <c r="G260" s="22"/>
      <c r="H260" s="22"/>
      <c r="I260" s="22"/>
      <c r="J260" s="22">
        <v>424.19606</v>
      </c>
      <c r="K260" s="22"/>
      <c r="L260" s="22"/>
      <c r="M260" s="32">
        <f t="shared" si="29"/>
        <v>424.19606</v>
      </c>
    </row>
    <row r="261" spans="1:13" s="4" customFormat="1" ht="50.25" customHeight="1">
      <c r="A261" s="34" t="s">
        <v>53</v>
      </c>
      <c r="B261" s="35" t="s">
        <v>266</v>
      </c>
      <c r="C261" s="22"/>
      <c r="D261" s="22"/>
      <c r="E261" s="22"/>
      <c r="F261" s="57">
        <f t="shared" si="28"/>
        <v>326.81614</v>
      </c>
      <c r="G261" s="22">
        <f>129.00614+197.81</f>
        <v>326.81614</v>
      </c>
      <c r="H261" s="22"/>
      <c r="I261" s="22"/>
      <c r="J261" s="22"/>
      <c r="K261" s="22"/>
      <c r="L261" s="22"/>
      <c r="M261" s="32">
        <f t="shared" si="29"/>
        <v>326.81614</v>
      </c>
    </row>
    <row r="262" spans="1:13" s="4" customFormat="1" ht="84.75" customHeight="1">
      <c r="A262" s="34" t="s">
        <v>53</v>
      </c>
      <c r="B262" s="35" t="s">
        <v>175</v>
      </c>
      <c r="C262" s="22"/>
      <c r="D262" s="22"/>
      <c r="E262" s="22"/>
      <c r="F262" s="57">
        <f>G262+J262</f>
        <v>247.35</v>
      </c>
      <c r="G262" s="22"/>
      <c r="H262" s="22"/>
      <c r="I262" s="22"/>
      <c r="J262" s="22">
        <v>247.35</v>
      </c>
      <c r="K262" s="22">
        <v>247.35</v>
      </c>
      <c r="L262" s="22">
        <v>247.35</v>
      </c>
      <c r="M262" s="32">
        <f>C262+F262</f>
        <v>247.35</v>
      </c>
    </row>
    <row r="263" spans="1:13" s="4" customFormat="1" ht="190.5" customHeight="1">
      <c r="A263" s="34" t="s">
        <v>193</v>
      </c>
      <c r="B263" s="19" t="s">
        <v>194</v>
      </c>
      <c r="C263" s="22"/>
      <c r="D263" s="22"/>
      <c r="E263" s="22"/>
      <c r="F263" s="57">
        <f t="shared" si="28"/>
        <v>7521</v>
      </c>
      <c r="G263" s="197">
        <f>8500-979</f>
        <v>7521</v>
      </c>
      <c r="H263" s="22"/>
      <c r="I263" s="22"/>
      <c r="J263" s="22"/>
      <c r="K263" s="22"/>
      <c r="L263" s="22"/>
      <c r="M263" s="32">
        <f t="shared" si="29"/>
        <v>7521</v>
      </c>
    </row>
    <row r="264" spans="1:13" s="131" customFormat="1" ht="50.25" customHeight="1">
      <c r="A264" s="129"/>
      <c r="B264" s="143" t="s">
        <v>35</v>
      </c>
      <c r="C264" s="116">
        <f>SUM(C258:C261)</f>
        <v>0</v>
      </c>
      <c r="D264" s="116">
        <f>SUM(D258:D261)</f>
        <v>0</v>
      </c>
      <c r="E264" s="116">
        <f>SUM(E258:E261)</f>
        <v>0</v>
      </c>
      <c r="F264" s="116">
        <f>SUM(F258:F263)</f>
        <v>9084.01792</v>
      </c>
      <c r="G264" s="116">
        <f aca="true" t="shared" si="31" ref="G264:L264">SUM(G258:G263)</f>
        <v>7847.81614</v>
      </c>
      <c r="H264" s="116">
        <f t="shared" si="31"/>
        <v>0</v>
      </c>
      <c r="I264" s="116">
        <f t="shared" si="31"/>
        <v>0</v>
      </c>
      <c r="J264" s="116">
        <f>SUM(J258:J263)</f>
        <v>1236.2017799999999</v>
      </c>
      <c r="K264" s="116">
        <f t="shared" si="31"/>
        <v>344.35</v>
      </c>
      <c r="L264" s="116">
        <f t="shared" si="31"/>
        <v>344.35</v>
      </c>
      <c r="M264" s="116">
        <f>SUM(M258:M263)</f>
        <v>9084.01792</v>
      </c>
    </row>
    <row r="265" spans="1:13" s="95" customFormat="1" ht="33.75" customHeight="1">
      <c r="A265" s="124" t="s">
        <v>55</v>
      </c>
      <c r="B265" s="125" t="s">
        <v>23</v>
      </c>
      <c r="C265" s="126"/>
      <c r="D265" s="126"/>
      <c r="E265" s="126"/>
      <c r="F265" s="127"/>
      <c r="G265" s="126"/>
      <c r="H265" s="126"/>
      <c r="I265" s="126"/>
      <c r="J265" s="126"/>
      <c r="K265" s="126"/>
      <c r="L265" s="126"/>
      <c r="M265" s="146"/>
    </row>
    <row r="266" spans="1:13" s="4" customFormat="1" ht="66.75" customHeight="1">
      <c r="A266" s="1" t="s">
        <v>56</v>
      </c>
      <c r="B266" s="35" t="s">
        <v>337</v>
      </c>
      <c r="C266" s="22"/>
      <c r="D266" s="22"/>
      <c r="E266" s="22"/>
      <c r="F266" s="57">
        <f>G266+J266</f>
        <v>92.718</v>
      </c>
      <c r="G266" s="22">
        <v>92.718</v>
      </c>
      <c r="H266" s="22"/>
      <c r="I266" s="22"/>
      <c r="J266" s="22"/>
      <c r="K266" s="22"/>
      <c r="L266" s="22"/>
      <c r="M266" s="74">
        <f>C266+F266</f>
        <v>92.718</v>
      </c>
    </row>
    <row r="267" spans="1:13" s="4" customFormat="1" ht="96.75" customHeight="1">
      <c r="A267" s="1" t="s">
        <v>56</v>
      </c>
      <c r="B267" s="35" t="s">
        <v>177</v>
      </c>
      <c r="C267" s="22"/>
      <c r="D267" s="22"/>
      <c r="E267" s="22"/>
      <c r="F267" s="57">
        <f>G267+J267</f>
        <v>0.405</v>
      </c>
      <c r="G267" s="22">
        <v>0.405</v>
      </c>
      <c r="H267" s="22"/>
      <c r="I267" s="22"/>
      <c r="J267" s="22"/>
      <c r="K267" s="22"/>
      <c r="L267" s="22"/>
      <c r="M267" s="74">
        <f>C267+F267</f>
        <v>0.405</v>
      </c>
    </row>
    <row r="268" spans="1:13" s="131" customFormat="1" ht="50.25" customHeight="1">
      <c r="A268" s="129"/>
      <c r="B268" s="143" t="s">
        <v>35</v>
      </c>
      <c r="C268" s="116">
        <f>SUM(C266)</f>
        <v>0</v>
      </c>
      <c r="D268" s="116">
        <f>SUM(D266)</f>
        <v>0</v>
      </c>
      <c r="E268" s="116">
        <f>SUM(E266)</f>
        <v>0</v>
      </c>
      <c r="F268" s="116">
        <f aca="true" t="shared" si="32" ref="F268:M268">SUM(F266:F267)</f>
        <v>93.123</v>
      </c>
      <c r="G268" s="116">
        <f t="shared" si="32"/>
        <v>93.123</v>
      </c>
      <c r="H268" s="116">
        <f t="shared" si="32"/>
        <v>0</v>
      </c>
      <c r="I268" s="116">
        <f t="shared" si="32"/>
        <v>0</v>
      </c>
      <c r="J268" s="116">
        <f t="shared" si="32"/>
        <v>0</v>
      </c>
      <c r="K268" s="116">
        <f t="shared" si="32"/>
        <v>0</v>
      </c>
      <c r="L268" s="116">
        <f t="shared" si="32"/>
        <v>0</v>
      </c>
      <c r="M268" s="116">
        <f t="shared" si="32"/>
        <v>93.123</v>
      </c>
    </row>
    <row r="269" spans="1:13" s="95" customFormat="1" ht="45" customHeight="1">
      <c r="A269" s="124" t="s">
        <v>57</v>
      </c>
      <c r="B269" s="125" t="s">
        <v>335</v>
      </c>
      <c r="C269" s="126"/>
      <c r="D269" s="126"/>
      <c r="E269" s="126"/>
      <c r="F269" s="127"/>
      <c r="G269" s="126"/>
      <c r="H269" s="126"/>
      <c r="I269" s="126"/>
      <c r="J269" s="126"/>
      <c r="K269" s="126"/>
      <c r="L269" s="126"/>
      <c r="M269" s="146"/>
    </row>
    <row r="270" spans="1:13" s="76" customFormat="1" ht="96" customHeight="1">
      <c r="A270" s="34" t="s">
        <v>58</v>
      </c>
      <c r="B270" s="43" t="s">
        <v>336</v>
      </c>
      <c r="C270" s="36"/>
      <c r="D270" s="22"/>
      <c r="E270" s="22"/>
      <c r="F270" s="57">
        <f>G270+J270</f>
        <v>4000.3</v>
      </c>
      <c r="G270" s="22"/>
      <c r="H270" s="22"/>
      <c r="I270" s="22"/>
      <c r="J270" s="22">
        <v>4000.3</v>
      </c>
      <c r="K270" s="22"/>
      <c r="L270" s="22"/>
      <c r="M270" s="32">
        <f>C270+F270</f>
        <v>4000.3</v>
      </c>
    </row>
    <row r="271" spans="1:13" s="76" customFormat="1" ht="83.25" customHeight="1">
      <c r="A271" s="34" t="s">
        <v>58</v>
      </c>
      <c r="B271" s="43" t="s">
        <v>176</v>
      </c>
      <c r="C271" s="36"/>
      <c r="D271" s="22"/>
      <c r="E271" s="22"/>
      <c r="F271" s="57">
        <f>G271+J271</f>
        <v>64</v>
      </c>
      <c r="G271" s="22"/>
      <c r="H271" s="22"/>
      <c r="I271" s="22"/>
      <c r="J271" s="22">
        <v>64</v>
      </c>
      <c r="K271" s="22">
        <v>64</v>
      </c>
      <c r="L271" s="22">
        <v>64</v>
      </c>
      <c r="M271" s="32">
        <f>C271+F271</f>
        <v>64</v>
      </c>
    </row>
    <row r="272" spans="1:13" s="131" customFormat="1" ht="50.25" customHeight="1">
      <c r="A272" s="129"/>
      <c r="B272" s="143" t="s">
        <v>35</v>
      </c>
      <c r="C272" s="116">
        <f>SUM(C270)</f>
        <v>0</v>
      </c>
      <c r="D272" s="116">
        <f>SUM(D270)</f>
        <v>0</v>
      </c>
      <c r="E272" s="116">
        <f>SUM(E270)</f>
        <v>0</v>
      </c>
      <c r="F272" s="116">
        <f>SUM(F270:F271)</f>
        <v>4064.3</v>
      </c>
      <c r="G272" s="116">
        <f aca="true" t="shared" si="33" ref="G272:M272">SUM(G270:G271)</f>
        <v>0</v>
      </c>
      <c r="H272" s="116">
        <f t="shared" si="33"/>
        <v>0</v>
      </c>
      <c r="I272" s="116">
        <f t="shared" si="33"/>
        <v>0</v>
      </c>
      <c r="J272" s="116">
        <f t="shared" si="33"/>
        <v>4064.3</v>
      </c>
      <c r="K272" s="116">
        <f>SUM(K270:K271)</f>
        <v>64</v>
      </c>
      <c r="L272" s="116">
        <f>SUM(L270:L271)</f>
        <v>64</v>
      </c>
      <c r="M272" s="116">
        <f t="shared" si="33"/>
        <v>4064.3</v>
      </c>
    </row>
    <row r="273" spans="1:13" s="95" customFormat="1" ht="45" customHeight="1">
      <c r="A273" s="124" t="s">
        <v>59</v>
      </c>
      <c r="B273" s="125" t="s">
        <v>60</v>
      </c>
      <c r="C273" s="126"/>
      <c r="D273" s="126"/>
      <c r="E273" s="126"/>
      <c r="F273" s="127"/>
      <c r="G273" s="126"/>
      <c r="H273" s="126"/>
      <c r="I273" s="126"/>
      <c r="J273" s="126"/>
      <c r="K273" s="126"/>
      <c r="L273" s="126"/>
      <c r="M273" s="146"/>
    </row>
    <row r="274" spans="1:13" s="4" customFormat="1" ht="79.5" customHeight="1">
      <c r="A274" s="1" t="s">
        <v>61</v>
      </c>
      <c r="B274" s="11" t="s">
        <v>146</v>
      </c>
      <c r="C274" s="36">
        <f>408.6+74.946</f>
        <v>483.54600000000005</v>
      </c>
      <c r="D274" s="22"/>
      <c r="E274" s="22"/>
      <c r="F274" s="57">
        <f t="shared" si="28"/>
        <v>0</v>
      </c>
      <c r="G274" s="22"/>
      <c r="H274" s="22"/>
      <c r="I274" s="22"/>
      <c r="J274" s="22"/>
      <c r="K274" s="22"/>
      <c r="L274" s="22"/>
      <c r="M274" s="32">
        <f t="shared" si="29"/>
        <v>483.54600000000005</v>
      </c>
    </row>
    <row r="275" spans="1:13" s="4" customFormat="1" ht="65.25" customHeight="1">
      <c r="A275" s="1" t="s">
        <v>91</v>
      </c>
      <c r="B275" s="11" t="s">
        <v>147</v>
      </c>
      <c r="C275" s="36">
        <v>18</v>
      </c>
      <c r="D275" s="22"/>
      <c r="E275" s="22"/>
      <c r="F275" s="57">
        <f t="shared" si="28"/>
        <v>0</v>
      </c>
      <c r="G275" s="22"/>
      <c r="H275" s="22"/>
      <c r="I275" s="22"/>
      <c r="J275" s="22"/>
      <c r="K275" s="22"/>
      <c r="L275" s="22"/>
      <c r="M275" s="32">
        <f t="shared" si="29"/>
        <v>18</v>
      </c>
    </row>
    <row r="276" spans="1:13" s="4" customFormat="1" ht="132.75" customHeight="1">
      <c r="A276" s="1" t="s">
        <v>62</v>
      </c>
      <c r="B276" s="35" t="s">
        <v>208</v>
      </c>
      <c r="C276" s="22"/>
      <c r="D276" s="22"/>
      <c r="E276" s="22"/>
      <c r="F276" s="57">
        <f t="shared" si="28"/>
        <v>1243.2</v>
      </c>
      <c r="G276" s="22">
        <f>397.824-0.024</f>
        <v>397.8</v>
      </c>
      <c r="H276" s="22"/>
      <c r="I276" s="22"/>
      <c r="J276" s="22">
        <f>845.376+0.024</f>
        <v>845.4</v>
      </c>
      <c r="K276" s="22"/>
      <c r="L276" s="22"/>
      <c r="M276" s="32">
        <f t="shared" si="29"/>
        <v>1243.2</v>
      </c>
    </row>
    <row r="277" spans="1:13" s="4" customFormat="1" ht="132.75" customHeight="1">
      <c r="A277" s="1" t="s">
        <v>62</v>
      </c>
      <c r="B277" s="35" t="s">
        <v>208</v>
      </c>
      <c r="C277" s="22"/>
      <c r="D277" s="22"/>
      <c r="E277" s="22"/>
      <c r="F277" s="57">
        <f t="shared" si="28"/>
        <v>433.228</v>
      </c>
      <c r="G277" s="22">
        <f>58.03225+1.363</f>
        <v>59.39525</v>
      </c>
      <c r="H277" s="22"/>
      <c r="I277" s="22"/>
      <c r="J277" s="22">
        <f>285.39875+88.434</f>
        <v>373.83275000000003</v>
      </c>
      <c r="K277" s="22"/>
      <c r="L277" s="22"/>
      <c r="M277" s="32">
        <f t="shared" si="29"/>
        <v>433.228</v>
      </c>
    </row>
    <row r="278" spans="1:13" s="4" customFormat="1" ht="155.25" customHeight="1">
      <c r="A278" s="1" t="s">
        <v>62</v>
      </c>
      <c r="B278" s="35" t="s">
        <v>190</v>
      </c>
      <c r="C278" s="22"/>
      <c r="D278" s="22"/>
      <c r="E278" s="22"/>
      <c r="F278" s="57">
        <f t="shared" si="28"/>
        <v>147.454</v>
      </c>
      <c r="G278" s="22">
        <v>33.575</v>
      </c>
      <c r="H278" s="22"/>
      <c r="I278" s="22"/>
      <c r="J278" s="22">
        <v>113.879</v>
      </c>
      <c r="K278" s="22"/>
      <c r="L278" s="22"/>
      <c r="M278" s="32">
        <f t="shared" si="29"/>
        <v>147.454</v>
      </c>
    </row>
    <row r="279" spans="1:13" s="4" customFormat="1" ht="148.5" customHeight="1">
      <c r="A279" s="1" t="s">
        <v>62</v>
      </c>
      <c r="B279" s="35" t="s">
        <v>209</v>
      </c>
      <c r="C279" s="22"/>
      <c r="D279" s="22"/>
      <c r="E279" s="22"/>
      <c r="F279" s="57">
        <f t="shared" si="28"/>
        <v>546</v>
      </c>
      <c r="G279" s="22">
        <v>174.7</v>
      </c>
      <c r="H279" s="22"/>
      <c r="I279" s="22"/>
      <c r="J279" s="22">
        <v>371.3</v>
      </c>
      <c r="K279" s="22"/>
      <c r="L279" s="22"/>
      <c r="M279" s="32">
        <f t="shared" si="29"/>
        <v>546</v>
      </c>
    </row>
    <row r="280" spans="1:15" s="131" customFormat="1" ht="36" customHeight="1">
      <c r="A280" s="129"/>
      <c r="B280" s="161" t="s">
        <v>35</v>
      </c>
      <c r="C280" s="116">
        <f>SUM(C274:C279)</f>
        <v>501.54600000000005</v>
      </c>
      <c r="D280" s="116">
        <f aca="true" t="shared" si="34" ref="D280:M280">SUM(D274:D279)</f>
        <v>0</v>
      </c>
      <c r="E280" s="116">
        <f t="shared" si="34"/>
        <v>0</v>
      </c>
      <c r="F280" s="116">
        <f t="shared" si="34"/>
        <v>2369.882</v>
      </c>
      <c r="G280" s="116">
        <f t="shared" si="34"/>
        <v>665.47025</v>
      </c>
      <c r="H280" s="116">
        <f t="shared" si="34"/>
        <v>0</v>
      </c>
      <c r="I280" s="116">
        <f t="shared" si="34"/>
        <v>0</v>
      </c>
      <c r="J280" s="116">
        <f t="shared" si="34"/>
        <v>1704.41175</v>
      </c>
      <c r="K280" s="116">
        <f t="shared" si="34"/>
        <v>0</v>
      </c>
      <c r="L280" s="116">
        <f t="shared" si="34"/>
        <v>0</v>
      </c>
      <c r="M280" s="116">
        <f t="shared" si="34"/>
        <v>2871.4280000000003</v>
      </c>
      <c r="O280" s="177">
        <f>C280</f>
        <v>501.54600000000005</v>
      </c>
    </row>
    <row r="281" spans="1:15" s="166" customFormat="1" ht="48.75" customHeight="1">
      <c r="A281" s="124" t="s">
        <v>229</v>
      </c>
      <c r="B281" s="125" t="s">
        <v>230</v>
      </c>
      <c r="C281" s="169"/>
      <c r="D281" s="170"/>
      <c r="E281" s="170"/>
      <c r="F281" s="170"/>
      <c r="G281" s="170"/>
      <c r="H281" s="170"/>
      <c r="I281" s="170"/>
      <c r="J281" s="170"/>
      <c r="K281" s="170"/>
      <c r="L281" s="170"/>
      <c r="M281" s="170"/>
      <c r="N281" s="165"/>
      <c r="O281" s="194">
        <f>O280+O256+O222</f>
        <v>33294.67200000001</v>
      </c>
    </row>
    <row r="282" spans="1:13" s="4" customFormat="1" ht="165.75" customHeight="1">
      <c r="A282" s="34" t="s">
        <v>65</v>
      </c>
      <c r="B282" s="19" t="s">
        <v>319</v>
      </c>
      <c r="C282" s="36">
        <v>42313.4</v>
      </c>
      <c r="D282" s="22"/>
      <c r="E282" s="22"/>
      <c r="F282" s="57">
        <f>G282+J282</f>
        <v>0</v>
      </c>
      <c r="G282" s="22"/>
      <c r="H282" s="22"/>
      <c r="I282" s="22"/>
      <c r="J282" s="22"/>
      <c r="K282" s="22"/>
      <c r="L282" s="22"/>
      <c r="M282" s="22">
        <f>C282+F282</f>
        <v>42313.4</v>
      </c>
    </row>
    <row r="283" spans="1:13" s="4" customFormat="1" ht="102.75" customHeight="1" hidden="1">
      <c r="A283" s="1" t="s">
        <v>135</v>
      </c>
      <c r="B283" s="17" t="s">
        <v>317</v>
      </c>
      <c r="C283" s="22"/>
      <c r="D283" s="22"/>
      <c r="E283" s="22"/>
      <c r="F283" s="57">
        <f>G283+J283</f>
        <v>0</v>
      </c>
      <c r="G283" s="22"/>
      <c r="H283" s="22"/>
      <c r="I283" s="22"/>
      <c r="J283" s="22"/>
      <c r="K283" s="22"/>
      <c r="L283" s="22"/>
      <c r="M283" s="32">
        <f aca="true" t="shared" si="35" ref="M283:M298">C283+F283</f>
        <v>0</v>
      </c>
    </row>
    <row r="284" spans="1:13" s="4" customFormat="1" ht="92.25" customHeight="1" hidden="1">
      <c r="A284" s="1" t="s">
        <v>135</v>
      </c>
      <c r="B284" s="17" t="s">
        <v>316</v>
      </c>
      <c r="C284" s="22"/>
      <c r="D284" s="22"/>
      <c r="E284" s="22"/>
      <c r="F284" s="57">
        <f>G284+J284</f>
        <v>0</v>
      </c>
      <c r="G284" s="22"/>
      <c r="H284" s="22"/>
      <c r="I284" s="22"/>
      <c r="J284" s="22"/>
      <c r="K284" s="22"/>
      <c r="L284" s="22"/>
      <c r="M284" s="32">
        <f t="shared" si="35"/>
        <v>0</v>
      </c>
    </row>
    <row r="285" spans="1:13" s="4" customFormat="1" ht="92.25" customHeight="1">
      <c r="A285" s="34" t="s">
        <v>262</v>
      </c>
      <c r="B285" s="15" t="s">
        <v>255</v>
      </c>
      <c r="C285" s="22">
        <v>119</v>
      </c>
      <c r="D285" s="22"/>
      <c r="E285" s="22"/>
      <c r="F285" s="57"/>
      <c r="G285" s="22"/>
      <c r="H285" s="22"/>
      <c r="I285" s="22"/>
      <c r="J285" s="22"/>
      <c r="K285" s="22"/>
      <c r="L285" s="22"/>
      <c r="M285" s="32">
        <f t="shared" si="35"/>
        <v>119</v>
      </c>
    </row>
    <row r="286" spans="1:13" s="4" customFormat="1" ht="120" customHeight="1">
      <c r="A286" s="34" t="s">
        <v>262</v>
      </c>
      <c r="B286" s="11" t="s">
        <v>256</v>
      </c>
      <c r="C286" s="22">
        <v>15</v>
      </c>
      <c r="D286" s="22"/>
      <c r="E286" s="22"/>
      <c r="F286" s="57">
        <f>G286+J286</f>
        <v>0</v>
      </c>
      <c r="G286" s="22"/>
      <c r="H286" s="22"/>
      <c r="I286" s="22"/>
      <c r="J286" s="22"/>
      <c r="K286" s="22"/>
      <c r="L286" s="22"/>
      <c r="M286" s="32">
        <f t="shared" si="35"/>
        <v>15</v>
      </c>
    </row>
    <row r="287" spans="1:13" s="4" customFormat="1" ht="120" customHeight="1">
      <c r="A287" s="34" t="s">
        <v>262</v>
      </c>
      <c r="B287" s="11" t="s">
        <v>189</v>
      </c>
      <c r="C287" s="22"/>
      <c r="D287" s="22"/>
      <c r="E287" s="22"/>
      <c r="F287" s="57">
        <f>G287+J287</f>
        <v>19</v>
      </c>
      <c r="G287" s="22"/>
      <c r="H287" s="22"/>
      <c r="I287" s="22"/>
      <c r="J287" s="22">
        <v>19</v>
      </c>
      <c r="K287" s="22">
        <v>19</v>
      </c>
      <c r="L287" s="22">
        <v>19</v>
      </c>
      <c r="M287" s="32">
        <f>C287+F287</f>
        <v>19</v>
      </c>
    </row>
    <row r="288" spans="1:13" s="4" customFormat="1" ht="120" customHeight="1">
      <c r="A288" s="34" t="s">
        <v>262</v>
      </c>
      <c r="B288" s="11" t="s">
        <v>257</v>
      </c>
      <c r="C288" s="22">
        <f>34.6-25</f>
        <v>9.600000000000001</v>
      </c>
      <c r="D288" s="22"/>
      <c r="E288" s="22"/>
      <c r="F288" s="57">
        <f>G288+J288</f>
        <v>0</v>
      </c>
      <c r="G288" s="22"/>
      <c r="H288" s="22"/>
      <c r="I288" s="22"/>
      <c r="J288" s="22"/>
      <c r="K288" s="22"/>
      <c r="L288" s="22"/>
      <c r="M288" s="32">
        <f t="shared" si="35"/>
        <v>9.600000000000001</v>
      </c>
    </row>
    <row r="289" spans="1:13" s="4" customFormat="1" ht="96" customHeight="1">
      <c r="A289" s="34" t="s">
        <v>262</v>
      </c>
      <c r="B289" s="17" t="s">
        <v>258</v>
      </c>
      <c r="C289" s="22">
        <f>19-4+4.7</f>
        <v>19.7</v>
      </c>
      <c r="D289" s="22"/>
      <c r="E289" s="22"/>
      <c r="F289" s="57">
        <f>G289+J289</f>
        <v>0</v>
      </c>
      <c r="G289" s="22"/>
      <c r="H289" s="22"/>
      <c r="I289" s="22"/>
      <c r="J289" s="22"/>
      <c r="K289" s="22"/>
      <c r="L289" s="22"/>
      <c r="M289" s="32">
        <f t="shared" si="35"/>
        <v>19.7</v>
      </c>
    </row>
    <row r="290" spans="1:13" s="4" customFormat="1" ht="123" customHeight="1" hidden="1">
      <c r="A290" s="34" t="s">
        <v>262</v>
      </c>
      <c r="B290" s="15" t="s">
        <v>259</v>
      </c>
      <c r="C290" s="22">
        <v>0</v>
      </c>
      <c r="D290" s="22"/>
      <c r="E290" s="22"/>
      <c r="F290" s="57">
        <f aca="true" t="shared" si="36" ref="F290:F298">G290+J290</f>
        <v>0</v>
      </c>
      <c r="G290" s="22"/>
      <c r="H290" s="22"/>
      <c r="I290" s="22"/>
      <c r="J290" s="22"/>
      <c r="K290" s="22"/>
      <c r="L290" s="22"/>
      <c r="M290" s="32">
        <f t="shared" si="35"/>
        <v>0</v>
      </c>
    </row>
    <row r="291" spans="1:13" s="4" customFormat="1" ht="92.25" customHeight="1">
      <c r="A291" s="34" t="s">
        <v>262</v>
      </c>
      <c r="B291" s="15" t="s">
        <v>161</v>
      </c>
      <c r="C291" s="22">
        <f>70-2.5+2.5-5.166</f>
        <v>64.834</v>
      </c>
      <c r="D291" s="22"/>
      <c r="E291" s="22"/>
      <c r="F291" s="57">
        <f t="shared" si="36"/>
        <v>5.166</v>
      </c>
      <c r="G291" s="22"/>
      <c r="H291" s="22"/>
      <c r="I291" s="22"/>
      <c r="J291" s="22">
        <v>5.166</v>
      </c>
      <c r="K291" s="22">
        <v>5.166</v>
      </c>
      <c r="L291" s="22">
        <v>5.166</v>
      </c>
      <c r="M291" s="32">
        <f t="shared" si="35"/>
        <v>70</v>
      </c>
    </row>
    <row r="292" spans="1:13" s="4" customFormat="1" ht="99.75" customHeight="1">
      <c r="A292" s="34" t="s">
        <v>262</v>
      </c>
      <c r="B292" s="15" t="s">
        <v>260</v>
      </c>
      <c r="C292" s="22">
        <v>45</v>
      </c>
      <c r="D292" s="22"/>
      <c r="E292" s="22"/>
      <c r="F292" s="57">
        <f t="shared" si="36"/>
        <v>0</v>
      </c>
      <c r="G292" s="22"/>
      <c r="H292" s="22"/>
      <c r="I292" s="22"/>
      <c r="J292" s="22"/>
      <c r="K292" s="22"/>
      <c r="L292" s="22"/>
      <c r="M292" s="32">
        <f t="shared" si="35"/>
        <v>45</v>
      </c>
    </row>
    <row r="293" spans="1:13" s="4" customFormat="1" ht="99.75" customHeight="1">
      <c r="A293" s="34" t="s">
        <v>262</v>
      </c>
      <c r="B293" s="15" t="s">
        <v>183</v>
      </c>
      <c r="C293" s="22"/>
      <c r="D293" s="22"/>
      <c r="E293" s="22"/>
      <c r="F293" s="57">
        <f t="shared" si="36"/>
        <v>250</v>
      </c>
      <c r="G293" s="22"/>
      <c r="H293" s="22"/>
      <c r="I293" s="22"/>
      <c r="J293" s="22">
        <v>250</v>
      </c>
      <c r="K293" s="22">
        <v>250</v>
      </c>
      <c r="L293" s="22">
        <f>250-200</f>
        <v>50</v>
      </c>
      <c r="M293" s="32">
        <f t="shared" si="35"/>
        <v>250</v>
      </c>
    </row>
    <row r="294" spans="1:13" s="4" customFormat="1" ht="114.75" customHeight="1">
      <c r="A294" s="34" t="s">
        <v>262</v>
      </c>
      <c r="B294" s="15" t="s">
        <v>261</v>
      </c>
      <c r="C294" s="22">
        <f>32-18+8.9</f>
        <v>22.9</v>
      </c>
      <c r="D294" s="22"/>
      <c r="E294" s="22"/>
      <c r="F294" s="57">
        <f t="shared" si="36"/>
        <v>152.39999999999998</v>
      </c>
      <c r="G294" s="22"/>
      <c r="H294" s="22"/>
      <c r="I294" s="22"/>
      <c r="J294" s="22">
        <f>18-8.9+60+83.3</f>
        <v>152.39999999999998</v>
      </c>
      <c r="K294" s="22">
        <f>18-8.9+60+83.3</f>
        <v>152.39999999999998</v>
      </c>
      <c r="L294" s="22">
        <f>18-8.9+83.3</f>
        <v>92.39999999999999</v>
      </c>
      <c r="M294" s="32">
        <f t="shared" si="35"/>
        <v>175.29999999999998</v>
      </c>
    </row>
    <row r="295" spans="1:13" s="4" customFormat="1" ht="180" customHeight="1">
      <c r="A295" s="34" t="s">
        <v>262</v>
      </c>
      <c r="B295" s="15" t="s">
        <v>207</v>
      </c>
      <c r="C295" s="22"/>
      <c r="D295" s="22"/>
      <c r="E295" s="22"/>
      <c r="F295" s="57">
        <f>G295+J295</f>
        <v>14</v>
      </c>
      <c r="G295" s="22"/>
      <c r="H295" s="22"/>
      <c r="I295" s="22"/>
      <c r="J295" s="22">
        <v>14</v>
      </c>
      <c r="K295" s="22">
        <v>14</v>
      </c>
      <c r="L295" s="22">
        <v>14</v>
      </c>
      <c r="M295" s="32">
        <f>C295+F295</f>
        <v>14</v>
      </c>
    </row>
    <row r="296" spans="1:13" s="4" customFormat="1" ht="114.75" customHeight="1">
      <c r="A296" s="34" t="s">
        <v>262</v>
      </c>
      <c r="B296" s="15" t="s">
        <v>192</v>
      </c>
      <c r="C296" s="22">
        <v>25</v>
      </c>
      <c r="D296" s="22"/>
      <c r="E296" s="22"/>
      <c r="F296" s="57">
        <f t="shared" si="36"/>
        <v>38.69</v>
      </c>
      <c r="G296" s="22"/>
      <c r="H296" s="22"/>
      <c r="I296" s="22"/>
      <c r="J296" s="22">
        <f>3.69+35</f>
        <v>38.69</v>
      </c>
      <c r="K296" s="22">
        <f>3.69+35</f>
        <v>38.69</v>
      </c>
      <c r="L296" s="22">
        <f>3.69+35</f>
        <v>38.69</v>
      </c>
      <c r="M296" s="32">
        <f t="shared" si="35"/>
        <v>63.69</v>
      </c>
    </row>
    <row r="297" spans="1:13" s="4" customFormat="1" ht="87" customHeight="1" hidden="1">
      <c r="A297" s="1" t="s">
        <v>181</v>
      </c>
      <c r="B297" s="19" t="s">
        <v>182</v>
      </c>
      <c r="C297" s="36"/>
      <c r="D297" s="22"/>
      <c r="E297" s="22"/>
      <c r="F297" s="57">
        <f>G297+J297</f>
        <v>0</v>
      </c>
      <c r="G297" s="22"/>
      <c r="H297" s="22"/>
      <c r="I297" s="22"/>
      <c r="J297" s="22"/>
      <c r="K297" s="22"/>
      <c r="L297" s="22"/>
      <c r="M297" s="22">
        <f>C297+F297</f>
        <v>0</v>
      </c>
    </row>
    <row r="298" spans="1:13" s="4" customFormat="1" ht="117" customHeight="1">
      <c r="A298" s="34" t="s">
        <v>283</v>
      </c>
      <c r="B298" s="35" t="s">
        <v>195</v>
      </c>
      <c r="C298" s="22">
        <v>135.012</v>
      </c>
      <c r="D298" s="22"/>
      <c r="E298" s="22"/>
      <c r="F298" s="57">
        <f t="shared" si="36"/>
        <v>0</v>
      </c>
      <c r="G298" s="22"/>
      <c r="H298" s="22"/>
      <c r="I298" s="22"/>
      <c r="J298" s="22"/>
      <c r="K298" s="22"/>
      <c r="L298" s="22"/>
      <c r="M298" s="32">
        <f t="shared" si="35"/>
        <v>135.012</v>
      </c>
    </row>
    <row r="299" spans="1:13" s="168" customFormat="1" ht="37.5" customHeight="1">
      <c r="A299" s="129"/>
      <c r="B299" s="21" t="s">
        <v>35</v>
      </c>
      <c r="C299" s="171">
        <f aca="true" t="shared" si="37" ref="C299:M299">SUM(C282:C298)</f>
        <v>42769.446</v>
      </c>
      <c r="D299" s="171">
        <f t="shared" si="37"/>
        <v>0</v>
      </c>
      <c r="E299" s="171">
        <f t="shared" si="37"/>
        <v>0</v>
      </c>
      <c r="F299" s="171">
        <f>SUM(F282:F298)</f>
        <v>479.256</v>
      </c>
      <c r="G299" s="171">
        <f t="shared" si="37"/>
        <v>0</v>
      </c>
      <c r="H299" s="171">
        <f t="shared" si="37"/>
        <v>0</v>
      </c>
      <c r="I299" s="171">
        <f t="shared" si="37"/>
        <v>0</v>
      </c>
      <c r="J299" s="171">
        <f>SUM(J282:J298)</f>
        <v>479.256</v>
      </c>
      <c r="K299" s="171">
        <f t="shared" si="37"/>
        <v>479.256</v>
      </c>
      <c r="L299" s="171">
        <f t="shared" si="37"/>
        <v>219.25599999999997</v>
      </c>
      <c r="M299" s="171">
        <f t="shared" si="37"/>
        <v>43248.702000000005</v>
      </c>
    </row>
    <row r="300" spans="1:13" s="168" customFormat="1" ht="37.5" customHeight="1" hidden="1">
      <c r="A300" s="129"/>
      <c r="B300" s="21"/>
      <c r="C300" s="171"/>
      <c r="D300" s="171"/>
      <c r="E300" s="171"/>
      <c r="F300" s="171"/>
      <c r="G300" s="171"/>
      <c r="H300" s="171"/>
      <c r="I300" s="171"/>
      <c r="J300" s="171"/>
      <c r="K300" s="171"/>
      <c r="L300" s="171"/>
      <c r="M300" s="171"/>
    </row>
    <row r="301" spans="1:14" s="173" customFormat="1" ht="44.25" customHeight="1">
      <c r="A301" s="107"/>
      <c r="B301" s="121" t="s">
        <v>166</v>
      </c>
      <c r="C301" s="37">
        <f>C222+C256+C264+C299+C280+C272+C268</f>
        <v>76379.30841000003</v>
      </c>
      <c r="D301" s="37">
        <f aca="true" t="shared" si="38" ref="D301:M301">D222+D256+D264+D299+D280+D272+D268</f>
        <v>0</v>
      </c>
      <c r="E301" s="37">
        <f t="shared" si="38"/>
        <v>0</v>
      </c>
      <c r="F301" s="37">
        <f>F222+F256+F264+F299+F280+F272+F268</f>
        <v>16509.26749</v>
      </c>
      <c r="G301" s="37">
        <f>G222+G256+G264+G299+G280+G272+G268</f>
        <v>8760.381389999999</v>
      </c>
      <c r="H301" s="37">
        <f t="shared" si="38"/>
        <v>0</v>
      </c>
      <c r="I301" s="37">
        <f t="shared" si="38"/>
        <v>0</v>
      </c>
      <c r="J301" s="37">
        <f>J222+J256+J264+J299+J280+J272+J268</f>
        <v>7748.8861</v>
      </c>
      <c r="K301" s="37">
        <f>K222+K256+K264+K299+K280+K272+K268</f>
        <v>935.9970000000001</v>
      </c>
      <c r="L301" s="37">
        <f>L222+L256+L264+L299+L280+L272+L268</f>
        <v>675.9970000000001</v>
      </c>
      <c r="M301" s="37">
        <f t="shared" si="38"/>
        <v>92888.57590000003</v>
      </c>
      <c r="N301" s="172"/>
    </row>
    <row r="302" spans="1:13" s="178" customFormat="1" ht="45.75" customHeight="1">
      <c r="A302" s="181"/>
      <c r="B302" s="183" t="s">
        <v>168</v>
      </c>
      <c r="C302" s="182">
        <f aca="true" t="shared" si="39" ref="C302:M302">C301+C212</f>
        <v>166815.07966000002</v>
      </c>
      <c r="D302" s="182">
        <f t="shared" si="39"/>
        <v>46735.278000000006</v>
      </c>
      <c r="E302" s="182">
        <f t="shared" si="39"/>
        <v>5759.478</v>
      </c>
      <c r="F302" s="182">
        <f t="shared" si="39"/>
        <v>30475.96998</v>
      </c>
      <c r="G302" s="182">
        <f t="shared" si="39"/>
        <v>12937.993659999998</v>
      </c>
      <c r="H302" s="182">
        <f t="shared" si="39"/>
        <v>502.042</v>
      </c>
      <c r="I302" s="182">
        <f t="shared" si="39"/>
        <v>46.656</v>
      </c>
      <c r="J302" s="182">
        <f t="shared" si="39"/>
        <v>17537.976319999998</v>
      </c>
      <c r="K302" s="182">
        <f t="shared" si="39"/>
        <v>10313.30851</v>
      </c>
      <c r="L302" s="182">
        <f t="shared" si="39"/>
        <v>4471.40122</v>
      </c>
      <c r="M302" s="182">
        <f t="shared" si="39"/>
        <v>197291.04963999998</v>
      </c>
    </row>
    <row r="305" spans="1:13" s="188" customFormat="1" ht="45" customHeight="1">
      <c r="A305" s="184" t="s">
        <v>278</v>
      </c>
      <c r="B305" s="185"/>
      <c r="C305" s="186"/>
      <c r="D305" s="186"/>
      <c r="E305" s="186"/>
      <c r="F305" s="186"/>
      <c r="G305" s="186"/>
      <c r="H305" s="186"/>
      <c r="I305" s="186"/>
      <c r="J305" s="186"/>
      <c r="K305" s="187" t="s">
        <v>201</v>
      </c>
      <c r="L305" s="186"/>
      <c r="M305" s="186"/>
    </row>
    <row r="306" ht="20.25">
      <c r="C306" s="167"/>
    </row>
    <row r="307" spans="3:6" ht="20.25">
      <c r="C307" s="175"/>
      <c r="F307" s="174"/>
    </row>
    <row r="308" spans="1:13" ht="15.75">
      <c r="A308" s="52"/>
      <c r="B308" s="3"/>
      <c r="C308" s="40">
        <f>C280+C264+C256+C222-C255-C254-C251-C250-C247-C234-C218-C249-C248</f>
        <v>33254.37200000001</v>
      </c>
      <c r="D308" s="40">
        <f>D280+D264+D256+D222-D255-D254-D251-D250-D247-D234-D218-D249</f>
        <v>0</v>
      </c>
      <c r="E308" s="40">
        <f>E280+E264+E256+E222-E255-E254-E251-E250-E247-E234-E218-E249</f>
        <v>0</v>
      </c>
      <c r="F308" s="195">
        <f>G308+J308</f>
        <v>15981.620490000003</v>
      </c>
      <c r="G308" s="40">
        <f>G219+G261+G263+G276+G277+G278+G279+G266+G267</f>
        <v>8760.381390000002</v>
      </c>
      <c r="H308" s="40">
        <f>H280+H264+H256+H222-H255-H254-H251-H250-H247-H234-H218-H249</f>
        <v>0</v>
      </c>
      <c r="I308" s="40">
        <f>I280+I264+I256+I222-I255-I254-I251-I250-I247-I234-I218-I249</f>
        <v>0</v>
      </c>
      <c r="J308" s="40">
        <f>J217+J219+J252+J258+J260+J270+J276+J277+J278+J279+J271+J262+J259</f>
        <v>7221.239100000001</v>
      </c>
      <c r="K308" s="40">
        <f>K217+K219+K252+K258+K260+K270+K276+K277+K278+K279+K271+K262+K259</f>
        <v>408.35</v>
      </c>
      <c r="L308" s="40">
        <f>L217+L219+L252+L258+L260+L270+L276+L277+L278+L279+L271+L262+L259</f>
        <v>408.35</v>
      </c>
      <c r="M308" s="40">
        <f>F308+C308</f>
        <v>49235.99249000001</v>
      </c>
    </row>
    <row r="309" spans="1:13" ht="15.75">
      <c r="A309" s="52"/>
      <c r="B309" s="3"/>
      <c r="C309" s="40">
        <f>C308-33249.2</f>
        <v>5.172000000013213</v>
      </c>
      <c r="D309" s="3"/>
      <c r="E309" s="3"/>
      <c r="F309" s="3"/>
      <c r="G309" s="3"/>
      <c r="H309" s="3"/>
      <c r="I309" s="3"/>
      <c r="J309" s="3"/>
      <c r="K309" s="3"/>
      <c r="L309" s="3"/>
      <c r="M309" s="3"/>
    </row>
    <row r="310" spans="1:13" ht="15.75">
      <c r="A310" s="52"/>
      <c r="B310" s="3"/>
      <c r="C310" s="40"/>
      <c r="D310" s="3"/>
      <c r="E310" s="3"/>
      <c r="F310" s="3"/>
      <c r="G310" s="3"/>
      <c r="H310" s="3"/>
      <c r="I310" s="3"/>
      <c r="J310" s="3">
        <v>17272.85592</v>
      </c>
      <c r="K310" s="3">
        <v>10147.63811</v>
      </c>
      <c r="L310" s="3"/>
      <c r="M310" s="3"/>
    </row>
    <row r="311" spans="1:13" ht="15.75">
      <c r="A311" s="52"/>
      <c r="B311" s="3"/>
      <c r="C311" s="40"/>
      <c r="D311" s="3"/>
      <c r="E311" s="3"/>
      <c r="F311" s="40"/>
      <c r="G311" s="3"/>
      <c r="H311" s="3"/>
      <c r="I311" s="3"/>
      <c r="J311" s="40">
        <f>J302-J310</f>
        <v>265.12039999999615</v>
      </c>
      <c r="K311" s="40">
        <f>K302-K310</f>
        <v>165.67040000000088</v>
      </c>
      <c r="L311" s="40">
        <f>L302-L310</f>
        <v>4471.40122</v>
      </c>
      <c r="M311" s="3"/>
    </row>
    <row r="313" ht="20.25">
      <c r="C313" s="175">
        <v>166769.77966</v>
      </c>
    </row>
    <row r="314" ht="18.75">
      <c r="C314" s="174">
        <f>C313-C302</f>
        <v>-45.30000000001746</v>
      </c>
    </row>
  </sheetData>
  <sheetProtection/>
  <mergeCells count="23">
    <mergeCell ref="A227:A228"/>
    <mergeCell ref="A50:A51"/>
    <mergeCell ref="D9:D11"/>
    <mergeCell ref="E9:E11"/>
    <mergeCell ref="C7:E7"/>
    <mergeCell ref="F7:L7"/>
    <mergeCell ref="C8:C11"/>
    <mergeCell ref="D8:E8"/>
    <mergeCell ref="K9:K11"/>
    <mergeCell ref="F8:F11"/>
    <mergeCell ref="G8:G11"/>
    <mergeCell ref="H8:I8"/>
    <mergeCell ref="J8:J11"/>
    <mergeCell ref="A4:N4"/>
    <mergeCell ref="A5:M5"/>
    <mergeCell ref="K6:M6"/>
    <mergeCell ref="A7:A11"/>
    <mergeCell ref="B7:B11"/>
    <mergeCell ref="M7:M11"/>
    <mergeCell ref="K8:L8"/>
    <mergeCell ref="H9:H11"/>
    <mergeCell ref="I9:I11"/>
    <mergeCell ref="L10:L11"/>
  </mergeCells>
  <conditionalFormatting sqref="M298 F223:M223 F221:M221 M217:M220 M224:M247 F224:F247 F209:F210 F213:F216 D211:M211 C208:C211 F219:F220 G204:L204 C204:E204 C193:E193 G193:L193 C188:E188 G188:L188 F217:L218 C172:L172 G158:L161 C158:E161 C149:L149 F150:F171 M208:M210 D208:L208 F273:F279 M273:M279 F282:F298 M283:M296 C143:E143 G143:L143 C139:E139 G139:L139 C130:E130 G130:L130 F25:F32 G26:L27 G34:L43 G113:L113 C113:E113 G33:K33 C43:E43 F34:F148 G30:L30 M14:M32 C27:E27 C15:L15 F173:F200 M34:M200 F258:F263 M258:M263 F269:F271 M269:M271 F265:F267 M265:M267 C19:L19 F14:L14 F20:L21 C24:L24 E18:L18 E16:L16 E22:L23 F249:F255 M249:M255 F17:L17 G31:I31 M202:M206 F202:F207">
    <cfRule type="cellIs" priority="10" dxfId="0" operator="equal" stopIfTrue="1">
      <formula>0</formula>
    </cfRule>
  </conditionalFormatting>
  <conditionalFormatting sqref="C14:E14">
    <cfRule type="cellIs" priority="9" dxfId="0" operator="equal" stopIfTrue="1">
      <formula>0</formula>
    </cfRule>
  </conditionalFormatting>
  <conditionalFormatting sqref="C20:E20">
    <cfRule type="cellIs" priority="8" dxfId="0" operator="equal" stopIfTrue="1">
      <formula>0</formula>
    </cfRule>
  </conditionalFormatting>
  <conditionalFormatting sqref="C22:D22">
    <cfRule type="cellIs" priority="7" dxfId="0" operator="equal" stopIfTrue="1">
      <formula>0</formula>
    </cfRule>
  </conditionalFormatting>
  <conditionalFormatting sqref="C18:D18">
    <cfRule type="cellIs" priority="6" dxfId="0" operator="equal" stopIfTrue="1">
      <formula>0</formula>
    </cfRule>
  </conditionalFormatting>
  <conditionalFormatting sqref="C16:D16">
    <cfRule type="cellIs" priority="5" dxfId="0" operator="equal" stopIfTrue="1">
      <formula>0</formula>
    </cfRule>
  </conditionalFormatting>
  <conditionalFormatting sqref="C21:E21">
    <cfRule type="cellIs" priority="4" dxfId="0" operator="equal" stopIfTrue="1">
      <formula>0</formula>
    </cfRule>
  </conditionalFormatting>
  <conditionalFormatting sqref="J31:L31">
    <cfRule type="cellIs" priority="3" dxfId="0" operator="equal" stopIfTrue="1">
      <formula>0</formula>
    </cfRule>
  </conditionalFormatting>
  <conditionalFormatting sqref="F201 M201">
    <cfRule type="cellIs" priority="2" dxfId="0" operator="equal" stopIfTrue="1">
      <formula>0</formula>
    </cfRule>
  </conditionalFormatting>
  <conditionalFormatting sqref="G263">
    <cfRule type="cellIs" priority="1" dxfId="0" operator="equal" stopIfTrue="1">
      <formula>0</formula>
    </cfRule>
  </conditionalFormatting>
  <printOptions/>
  <pageMargins left="0.7874015748031497" right="0.3937007874015748" top="0.984251968503937" bottom="0.984251968503937" header="0.5118110236220472" footer="0.5118110236220472"/>
  <pageSetup blackAndWhite="1" fitToHeight="20" horizontalDpi="600" verticalDpi="600" orientation="landscape" paperSize="9" scale="50" r:id="rId1"/>
  <rowBreaks count="5" manualBreakCount="5">
    <brk id="100" max="12" man="1"/>
    <brk id="212" max="12" man="1"/>
    <brk id="224" max="12" man="1"/>
    <brk id="227" max="12" man="1"/>
    <brk id="2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2013-11-05T06:36:08Z</cp:lastPrinted>
  <dcterms:created xsi:type="dcterms:W3CDTF">2002-12-23T07:57:09Z</dcterms:created>
  <dcterms:modified xsi:type="dcterms:W3CDTF">2013-11-05T07:02:08Z</dcterms:modified>
  <cp:category/>
  <cp:version/>
  <cp:contentType/>
  <cp:contentStatus/>
</cp:coreProperties>
</file>